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 ANUAL DE ADQUISICIONES 2016 CONTRALORIA\MARZO 2016\"/>
    </mc:Choice>
  </mc:AlternateContent>
  <bookViews>
    <workbookView xWindow="0" yWindow="0" windowWidth="19440" windowHeight="12240" activeTab="1"/>
  </bookViews>
  <sheets>
    <sheet name="CUADRO PAA 2016" sheetId="4" r:id="rId1"/>
    <sheet name="PLAN DE ADQUISICIONES 2016" sheetId="5" r:id="rId2"/>
    <sheet name="ADICIONES A CONTRATOS" sheetId="7" r:id="rId3"/>
    <sheet name="INVERSIÓN" sheetId="6" r:id="rId4"/>
  </sheets>
  <definedNames>
    <definedName name="_xlnm._FilterDatabase" localSheetId="2" hidden="1">'ADICIONES A CONTRATOS'!$A$5:$AP$14</definedName>
    <definedName name="_xlnm._FilterDatabase" localSheetId="1" hidden="1">'PLAN DE ADQUISICIONES 2016'!$A$6:$IC$112</definedName>
    <definedName name="_xlnm.Print_Area" localSheetId="3">INVERSIÓN!$A$1:$H$61</definedName>
    <definedName name="_xlnm.Print_Area" localSheetId="1">'PLAN DE ADQUISICIONES 2016'!$A$1:$U$112</definedName>
    <definedName name="_xlnm.Print_Titles" localSheetId="3">INVERSIÓN!$4:$4</definedName>
    <definedName name="_xlnm.Print_Titles" localSheetId="1">'PLAN DE ADQUISICIONES 2016'!$C:$Q,'PLAN DE ADQUISICIONES 2016'!$6:$6</definedName>
  </definedNames>
  <calcPr calcId="152511"/>
</workbook>
</file>

<file path=xl/calcChain.xml><?xml version="1.0" encoding="utf-8"?>
<calcChain xmlns="http://schemas.openxmlformats.org/spreadsheetml/2006/main">
  <c r="J112" i="5" l="1"/>
  <c r="I112" i="5"/>
  <c r="G34" i="4" l="1"/>
  <c r="F34" i="4"/>
  <c r="G43" i="4"/>
  <c r="C21" i="6" l="1"/>
  <c r="L36" i="5" l="1"/>
  <c r="M36" i="5" s="1"/>
  <c r="O36" i="5" s="1"/>
  <c r="L14" i="5"/>
  <c r="M14" i="5" s="1"/>
  <c r="O14" i="5" s="1"/>
  <c r="L13" i="5"/>
  <c r="M13" i="5" s="1"/>
  <c r="O13" i="5" s="1"/>
  <c r="L12" i="5"/>
  <c r="M12" i="5" s="1"/>
  <c r="O12" i="5" s="1"/>
  <c r="L31" i="5" l="1"/>
  <c r="M31" i="5" s="1"/>
  <c r="L32" i="5"/>
  <c r="M32" i="5" s="1"/>
  <c r="O32" i="5" s="1"/>
  <c r="L45" i="5"/>
  <c r="M45" i="5" s="1"/>
  <c r="O45" i="5" s="1"/>
  <c r="L44" i="5"/>
  <c r="M44" i="5" s="1"/>
  <c r="O44" i="5" s="1"/>
  <c r="L43" i="5"/>
  <c r="M43" i="5" s="1"/>
  <c r="O43" i="5" s="1"/>
  <c r="O31" i="5" l="1"/>
  <c r="M72" i="5"/>
  <c r="O72" i="5" s="1"/>
  <c r="M71" i="5"/>
  <c r="O71" i="5" s="1"/>
  <c r="M30" i="5" l="1"/>
  <c r="O30" i="5" s="1"/>
  <c r="M79" i="5" l="1"/>
  <c r="O79" i="5" s="1"/>
  <c r="G26" i="4" l="1"/>
  <c r="F26" i="4"/>
  <c r="C58" i="6"/>
  <c r="F58" i="6" s="1"/>
  <c r="L56" i="5"/>
  <c r="M56" i="5" s="1"/>
  <c r="O56" i="5" s="1"/>
  <c r="L55" i="5"/>
  <c r="M55" i="5" s="1"/>
  <c r="O55" i="5" s="1"/>
  <c r="I53" i="5"/>
  <c r="F42" i="4" s="1"/>
  <c r="O17" i="5"/>
  <c r="G11" i="4"/>
  <c r="E11" i="4"/>
  <c r="C11" i="6" l="1"/>
  <c r="C13" i="6" s="1"/>
  <c r="D13" i="6"/>
  <c r="H13" i="6" s="1"/>
  <c r="F12" i="6"/>
  <c r="H14" i="7"/>
  <c r="I40" i="5" l="1"/>
  <c r="G19" i="4" l="1"/>
  <c r="F19" i="4"/>
  <c r="M34" i="5" l="1"/>
  <c r="O34" i="5" s="1"/>
  <c r="L107" i="5" l="1"/>
  <c r="L106" i="5"/>
  <c r="M106" i="5" s="1"/>
  <c r="O106" i="5" s="1"/>
  <c r="M105" i="5" l="1"/>
  <c r="O105" i="5" s="1"/>
  <c r="I79" i="5"/>
  <c r="F11" i="4" s="1"/>
  <c r="K14" i="4"/>
  <c r="L22" i="5" l="1"/>
  <c r="M22" i="5" s="1"/>
  <c r="O22" i="5" s="1"/>
  <c r="L10" i="5"/>
  <c r="M10" i="5" s="1"/>
  <c r="O10" i="5" s="1"/>
  <c r="L16" i="5"/>
  <c r="M16" i="5" s="1"/>
  <c r="O16" i="5" s="1"/>
  <c r="O11" i="5"/>
  <c r="C95" i="4" l="1"/>
  <c r="D94" i="4"/>
  <c r="E94" i="4" s="1"/>
  <c r="D93" i="4"/>
  <c r="F93" i="4" s="1"/>
  <c r="D92" i="4"/>
  <c r="F92" i="4" s="1"/>
  <c r="D91" i="4"/>
  <c r="E91" i="4" s="1"/>
  <c r="D90" i="4"/>
  <c r="F90" i="4" s="1"/>
  <c r="C86" i="4"/>
  <c r="D85" i="4"/>
  <c r="D84" i="4"/>
  <c r="F84" i="4" s="1"/>
  <c r="D83" i="4"/>
  <c r="E83" i="4" s="1"/>
  <c r="F91" i="4" l="1"/>
  <c r="F94" i="4"/>
  <c r="E90" i="4"/>
  <c r="D86" i="4"/>
  <c r="F86" i="4" s="1"/>
  <c r="D95" i="4"/>
  <c r="F95" i="4" s="1"/>
  <c r="F83" i="4"/>
  <c r="E85" i="4"/>
  <c r="E93" i="4"/>
  <c r="E84" i="4"/>
  <c r="F85" i="4"/>
  <c r="E92" i="4"/>
  <c r="B98" i="4" l="1"/>
  <c r="E95" i="4"/>
  <c r="E86" i="4"/>
  <c r="E96" i="4" l="1"/>
  <c r="C28" i="6" l="1"/>
  <c r="C27" i="6"/>
  <c r="F27" i="6" s="1"/>
  <c r="G42" i="4"/>
  <c r="G37" i="4"/>
  <c r="G32" i="4"/>
  <c r="G30" i="4"/>
  <c r="G28" i="4"/>
  <c r="G24" i="4"/>
  <c r="G23" i="4"/>
  <c r="G22" i="4"/>
  <c r="G21" i="4"/>
  <c r="G18" i="4"/>
  <c r="G17" i="4"/>
  <c r="G16" i="4"/>
  <c r="G15" i="4"/>
  <c r="K10" i="4"/>
  <c r="L11" i="4"/>
  <c r="L12" i="4"/>
  <c r="L15" i="4"/>
  <c r="L16" i="4"/>
  <c r="L17" i="4"/>
  <c r="L18" i="4"/>
  <c r="L19" i="4"/>
  <c r="L21" i="4"/>
  <c r="L22" i="4"/>
  <c r="L23" i="4"/>
  <c r="L24" i="4"/>
  <c r="K25" i="4"/>
  <c r="L26" i="4"/>
  <c r="L25" i="4" s="1"/>
  <c r="K27" i="4"/>
  <c r="L28" i="4"/>
  <c r="L27" i="4" s="1"/>
  <c r="K29" i="4"/>
  <c r="L30" i="4"/>
  <c r="J31" i="4"/>
  <c r="L31" i="4"/>
  <c r="L32" i="4"/>
  <c r="J33" i="4"/>
  <c r="L33" i="4"/>
  <c r="L34" i="4"/>
  <c r="K35" i="4"/>
  <c r="J36" i="4"/>
  <c r="J35" i="4" s="1"/>
  <c r="L36" i="4"/>
  <c r="L35" i="4" s="1"/>
  <c r="L37" i="4"/>
  <c r="J38" i="4"/>
  <c r="L38" i="4"/>
  <c r="K39" i="4"/>
  <c r="J40" i="4"/>
  <c r="J39" i="4" s="1"/>
  <c r="L40" i="4"/>
  <c r="L39" i="4" s="1"/>
  <c r="K41" i="4"/>
  <c r="L42" i="4"/>
  <c r="L43" i="4"/>
  <c r="H12" i="4"/>
  <c r="L14" i="4" l="1"/>
  <c r="L29" i="4"/>
  <c r="L20" i="4" s="1"/>
  <c r="L41" i="4"/>
  <c r="J12" i="4"/>
  <c r="L10" i="4"/>
  <c r="K20" i="4"/>
  <c r="K13" i="4" s="1"/>
  <c r="K44" i="4" s="1"/>
  <c r="L13" i="4" l="1"/>
  <c r="L44" i="4" s="1"/>
  <c r="E43" i="4" l="1"/>
  <c r="I43" i="4" s="1"/>
  <c r="E42" i="4"/>
  <c r="E40" i="4"/>
  <c r="E38" i="4"/>
  <c r="I38" i="4" s="1"/>
  <c r="E37" i="4"/>
  <c r="E36" i="4"/>
  <c r="E33" i="4"/>
  <c r="I33" i="4" s="1"/>
  <c r="E28" i="4"/>
  <c r="E26" i="4"/>
  <c r="E24" i="4"/>
  <c r="E23" i="4"/>
  <c r="E22" i="4"/>
  <c r="E21" i="4"/>
  <c r="E19" i="4"/>
  <c r="E18" i="4"/>
  <c r="E17" i="4"/>
  <c r="E16" i="4"/>
  <c r="E15" i="4"/>
  <c r="D34" i="4"/>
  <c r="E34" i="4" s="1"/>
  <c r="D32" i="4"/>
  <c r="E32" i="4" s="1"/>
  <c r="D31" i="4"/>
  <c r="E31" i="4" s="1"/>
  <c r="D30" i="4"/>
  <c r="E12" i="4"/>
  <c r="D41" i="4"/>
  <c r="D39" i="4"/>
  <c r="D35" i="4"/>
  <c r="D27" i="4"/>
  <c r="D25" i="4"/>
  <c r="D14" i="4"/>
  <c r="D10" i="4"/>
  <c r="I12" i="4" l="1"/>
  <c r="I31" i="4"/>
  <c r="E25" i="4"/>
  <c r="I40" i="4"/>
  <c r="I39" i="4" s="1"/>
  <c r="E27" i="4"/>
  <c r="I36" i="4"/>
  <c r="I35" i="4" s="1"/>
  <c r="E39" i="4"/>
  <c r="E41" i="4"/>
  <c r="E35" i="4"/>
  <c r="D29" i="4"/>
  <c r="D20" i="4" s="1"/>
  <c r="D13" i="4" s="1"/>
  <c r="D44" i="4" s="1"/>
  <c r="E30" i="4"/>
  <c r="E14" i="4"/>
  <c r="E10" i="4"/>
  <c r="E29" i="4" l="1"/>
  <c r="E20" i="4" s="1"/>
  <c r="E13" i="4" s="1"/>
  <c r="E44" i="4" s="1"/>
  <c r="L91" i="5" l="1"/>
  <c r="I91" i="5"/>
  <c r="I90" i="5"/>
  <c r="A8" i="5" l="1"/>
  <c r="A43" i="5" l="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7" i="5" s="1"/>
  <c r="A98" i="5" s="1"/>
  <c r="A99" i="5" s="1"/>
  <c r="A100" i="5" s="1"/>
  <c r="A101" i="5" s="1"/>
  <c r="A102" i="5" s="1"/>
  <c r="A103" i="5" s="1"/>
  <c r="A104" i="5" s="1"/>
  <c r="A105" i="5" s="1"/>
  <c r="A106" i="5" s="1"/>
  <c r="A107" i="5" s="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110" i="5"/>
  <c r="A111" i="5" s="1"/>
  <c r="L62" i="5"/>
  <c r="M62" i="5" s="1"/>
  <c r="O62" i="5" s="1"/>
  <c r="O8" i="5" l="1"/>
  <c r="O7" i="5" l="1"/>
  <c r="C49" i="6" l="1"/>
  <c r="F49" i="6" s="1"/>
  <c r="C47" i="6"/>
  <c r="F48" i="6"/>
  <c r="F32" i="6"/>
  <c r="F31" i="6"/>
  <c r="F24" i="4"/>
  <c r="J24" i="4" l="1"/>
  <c r="I16" i="4"/>
  <c r="I18" i="4"/>
  <c r="I21" i="4"/>
  <c r="I23" i="4"/>
  <c r="I30" i="4"/>
  <c r="I29" i="4" s="1"/>
  <c r="I34" i="4"/>
  <c r="I42" i="4"/>
  <c r="I41" i="4" s="1"/>
  <c r="I17" i="4"/>
  <c r="I19" i="4"/>
  <c r="I22" i="4"/>
  <c r="I24" i="4"/>
  <c r="I28" i="4"/>
  <c r="I27" i="4" s="1"/>
  <c r="I32" i="4"/>
  <c r="I37" i="4"/>
  <c r="I108" i="5"/>
  <c r="H26" i="4" l="1"/>
  <c r="I26" i="4" l="1"/>
  <c r="I25" i="4" s="1"/>
  <c r="I20" i="4" s="1"/>
  <c r="I17" i="5" l="1"/>
  <c r="H11" i="4" l="1"/>
  <c r="H15" i="4"/>
  <c r="F37" i="4"/>
  <c r="F32" i="4"/>
  <c r="F30" i="4"/>
  <c r="F28" i="4"/>
  <c r="F23" i="4"/>
  <c r="F22" i="4"/>
  <c r="F21" i="4"/>
  <c r="F18" i="4"/>
  <c r="F17" i="4"/>
  <c r="F15" i="4"/>
  <c r="J11" i="4" l="1"/>
  <c r="J10" i="4" s="1"/>
  <c r="J17" i="4"/>
  <c r="J19" i="4"/>
  <c r="J22" i="4"/>
  <c r="J26" i="4"/>
  <c r="J25" i="4" s="1"/>
  <c r="J30" i="4"/>
  <c r="J29" i="4" s="1"/>
  <c r="J34" i="4"/>
  <c r="J42" i="4"/>
  <c r="I11" i="4"/>
  <c r="I10" i="4" s="1"/>
  <c r="J15" i="4"/>
  <c r="J18" i="4"/>
  <c r="J21" i="4"/>
  <c r="J23" i="4"/>
  <c r="J28" i="4"/>
  <c r="J27" i="4" s="1"/>
  <c r="J32" i="4"/>
  <c r="J37" i="4"/>
  <c r="I15" i="4"/>
  <c r="I70" i="5"/>
  <c r="I54" i="5"/>
  <c r="I14" i="4" l="1"/>
  <c r="I13" i="4" s="1"/>
  <c r="I44" i="4" s="1"/>
  <c r="J20" i="4"/>
  <c r="F16" i="4"/>
  <c r="J16" i="4" l="1"/>
  <c r="J14" i="4" s="1"/>
  <c r="J13" i="4" s="1"/>
  <c r="M59" i="5"/>
  <c r="O59" i="5" s="1"/>
  <c r="C60" i="6" l="1"/>
  <c r="C50" i="6"/>
  <c r="F47" i="6"/>
  <c r="F46" i="6"/>
  <c r="F45" i="6"/>
  <c r="F44" i="6"/>
  <c r="F43" i="6"/>
  <c r="F42" i="6"/>
  <c r="F41" i="6"/>
  <c r="F40" i="6"/>
  <c r="F39" i="6"/>
  <c r="F38" i="6"/>
  <c r="F20" i="6"/>
  <c r="F19" i="6"/>
  <c r="F18" i="6"/>
  <c r="F17" i="6"/>
  <c r="F16" i="6"/>
  <c r="F15" i="6"/>
  <c r="F11" i="6"/>
  <c r="F10" i="6"/>
  <c r="F9" i="6"/>
  <c r="F8" i="6"/>
  <c r="F7" i="6"/>
  <c r="F6" i="6"/>
  <c r="F5" i="6"/>
  <c r="F23" i="6"/>
  <c r="F24" i="6"/>
  <c r="F25" i="6"/>
  <c r="F26" i="6"/>
  <c r="F28" i="6"/>
  <c r="F29" i="6"/>
  <c r="F30" i="6"/>
  <c r="M107" i="5" l="1"/>
  <c r="O107" i="5" s="1"/>
  <c r="M97" i="5"/>
  <c r="O97" i="5" s="1"/>
  <c r="I106" i="5"/>
  <c r="F43" i="4" s="1"/>
  <c r="D60" i="6" l="1"/>
  <c r="F59" i="6"/>
  <c r="F57" i="6"/>
  <c r="F54" i="6"/>
  <c r="C36" i="6"/>
  <c r="D33" i="6"/>
  <c r="C33" i="6"/>
  <c r="D21" i="6"/>
  <c r="J43" i="4" l="1"/>
  <c r="J41" i="4" s="1"/>
  <c r="J44" i="4" s="1"/>
  <c r="C51" i="6"/>
  <c r="F33" i="6"/>
  <c r="E21" i="6"/>
  <c r="F60" i="6"/>
  <c r="E60" i="6"/>
  <c r="F21" i="6"/>
  <c r="H60" i="6"/>
  <c r="H33" i="6"/>
  <c r="E33" i="6"/>
  <c r="E13" i="6"/>
  <c r="F13" i="6"/>
  <c r="D50" i="6"/>
  <c r="H21" i="6"/>
  <c r="L94" i="5"/>
  <c r="M94" i="5" s="1"/>
  <c r="O94" i="5" s="1"/>
  <c r="L93" i="5"/>
  <c r="M93" i="5" s="1"/>
  <c r="O93" i="5" s="1"/>
  <c r="L92" i="5"/>
  <c r="M92" i="5" s="1"/>
  <c r="O92" i="5" s="1"/>
  <c r="M91" i="5"/>
  <c r="O91" i="5" s="1"/>
  <c r="L89" i="5"/>
  <c r="M89" i="5" s="1"/>
  <c r="O89" i="5" s="1"/>
  <c r="L88" i="5"/>
  <c r="M88" i="5" s="1"/>
  <c r="O88" i="5" s="1"/>
  <c r="L87" i="5"/>
  <c r="M87" i="5" s="1"/>
  <c r="O87" i="5" s="1"/>
  <c r="L86" i="5"/>
  <c r="M86" i="5" s="1"/>
  <c r="O86" i="5" s="1"/>
  <c r="K58" i="5"/>
  <c r="E50" i="6" l="1"/>
  <c r="H50" i="6"/>
  <c r="C61" i="6"/>
  <c r="F50" i="6"/>
  <c r="D51" i="6"/>
  <c r="E51" i="6" l="1"/>
  <c r="H51" i="6"/>
  <c r="D61" i="6"/>
  <c r="F51" i="6"/>
  <c r="E61" i="6" l="1"/>
  <c r="H61" i="6"/>
  <c r="F61" i="6"/>
  <c r="H41" i="4" l="1"/>
  <c r="G41" i="4"/>
  <c r="C41" i="4"/>
  <c r="H39" i="4"/>
  <c r="G39" i="4"/>
  <c r="F39" i="4"/>
  <c r="C39" i="4"/>
  <c r="H35" i="4"/>
  <c r="G35" i="4"/>
  <c r="F35" i="4"/>
  <c r="C35" i="4"/>
  <c r="H29" i="4"/>
  <c r="G29" i="4"/>
  <c r="F29" i="4"/>
  <c r="C29" i="4"/>
  <c r="H27" i="4"/>
  <c r="G27" i="4"/>
  <c r="F27" i="4"/>
  <c r="C27" i="4"/>
  <c r="H25" i="4"/>
  <c r="G25" i="4"/>
  <c r="F25" i="4"/>
  <c r="C25" i="4"/>
  <c r="H14" i="4"/>
  <c r="F14" i="4"/>
  <c r="C14" i="4"/>
  <c r="F10" i="4"/>
  <c r="H10" i="4"/>
  <c r="G10" i="4"/>
  <c r="C10" i="4"/>
  <c r="C20" i="4" l="1"/>
  <c r="C13" i="4" s="1"/>
  <c r="C44" i="4" s="1"/>
  <c r="H20" i="4"/>
  <c r="H13" i="4" s="1"/>
  <c r="H44" i="4" s="1"/>
  <c r="G14" i="4"/>
  <c r="F20" i="4"/>
  <c r="G20" i="4"/>
  <c r="F13" i="4" l="1"/>
  <c r="G13" i="4"/>
  <c r="G44" i="4" s="1"/>
  <c r="F41" i="4" l="1"/>
  <c r="F44" i="4" l="1"/>
  <c r="F48" i="4"/>
  <c r="F46" i="4" l="1"/>
  <c r="F47" i="4" s="1"/>
</calcChain>
</file>

<file path=xl/comments1.xml><?xml version="1.0" encoding="utf-8"?>
<comments xmlns="http://schemas.openxmlformats.org/spreadsheetml/2006/main">
  <authors>
    <author>ANGELA CONSUELO LAGOS PRIETO</author>
  </authors>
  <commentList>
    <comment ref="R53"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<sst xmlns="http://schemas.openxmlformats.org/spreadsheetml/2006/main" count="1635" uniqueCount="717">
  <si>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</si>
  <si>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</si>
  <si>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</si>
  <si>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</si>
  <si>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</si>
  <si>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</si>
  <si>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</si>
  <si>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</si>
  <si>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</si>
  <si>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</si>
  <si>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</si>
  <si>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</si>
  <si>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</si>
  <si>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</si>
  <si>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</si>
  <si>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</si>
  <si>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</si>
  <si>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</si>
  <si>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</si>
  <si>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</si>
  <si>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</si>
  <si>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</si>
  <si>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</si>
  <si>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</si>
  <si>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</si>
  <si>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</si>
  <si>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</si>
  <si>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</si>
  <si>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</si>
  <si>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</si>
  <si>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</si>
  <si>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</si>
  <si>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Bienestar e incentivos </t>
  </si>
  <si>
    <t>Mínima Cuantía</t>
  </si>
  <si>
    <t xml:space="preserve">Contrato de prestación de servicios </t>
  </si>
  <si>
    <t>80111504
Formación o desarrollo laboral</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</si>
  <si>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</si>
  <si>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</si>
  <si>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</si>
  <si>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</si>
  <si>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</si>
  <si>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</si>
  <si>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</si>
  <si>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</si>
  <si>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</si>
  <si>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</si>
  <si>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</si>
  <si>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</si>
  <si>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</si>
  <si>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</si>
  <si>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</si>
  <si>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</si>
  <si>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</si>
  <si>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</si>
  <si>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</si>
  <si>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</si>
  <si>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</si>
  <si>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</si>
  <si>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</si>
  <si>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</si>
  <si>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</si>
  <si>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</si>
  <si>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</si>
  <si>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</si>
  <si>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</si>
  <si>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</si>
  <si>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</si>
  <si>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</si>
  <si>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</si>
  <si>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</si>
  <si>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</si>
  <si>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</si>
  <si>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</si>
  <si>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</si>
  <si>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</si>
  <si>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</si>
  <si>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</si>
  <si>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</si>
  <si>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</si>
  <si>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</si>
  <si>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 xml:space="preserve">85101605 auxiliares
de salud a domicilio
85101604 servicios
de asistencia de
personal médico
</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</si>
  <si>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</si>
  <si>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</si>
  <si>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</si>
  <si>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</si>
  <si>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</si>
  <si>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</si>
  <si>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</si>
  <si>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</si>
  <si>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</si>
  <si>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</si>
  <si>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</si>
  <si>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</si>
  <si>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</si>
  <si>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Capacitación Externa</t>
  </si>
  <si>
    <t xml:space="preserve">80111504
Formación o desarrollo laboral
</t>
  </si>
  <si>
    <t>Mejoramiento de las competencias laborales de los funcionarios  de la Contraloría de Bogotá, D.C.</t>
  </si>
  <si>
    <t>Capacitación Interna</t>
  </si>
  <si>
    <t>DIRECCIÓN DE PLANEACIÓN</t>
  </si>
  <si>
    <t>DIRECCIÓN DE TECNOLOGÍAS DE LA INFORMACIÓN Y LAS COMUNICACIONES</t>
  </si>
  <si>
    <t>331140326-0776</t>
  </si>
  <si>
    <t>Fortalecimiento de la capacidad institucional para un control fiscal efectivo y transparente</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</si>
  <si>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</si>
  <si>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</si>
  <si>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</si>
  <si>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</si>
  <si>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</si>
  <si>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</si>
  <si>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</si>
  <si>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Se requiere Renovación Licenciamiento Autocad y Suit de Adobe ya que este se requiere realizar anualmente para garantizar la disponibilidad de estas herramientas para los usuarios de Comunicaciones, Bienestar y Grupos de Auditoria relacionados con obras civiles.</t>
  </si>
  <si>
    <t>OFICINA ASESORA DE COMUNICACIONES</t>
  </si>
  <si>
    <t>Servicios Personales Indirectos</t>
  </si>
  <si>
    <t>Es importante tener un registro de la información presentada a la opinión pública a través de los medios de comunicación sobre la gestión de la Contraloría de Bogotá</t>
  </si>
  <si>
    <t>Promoción Institucional</t>
  </si>
  <si>
    <t>82131600 Fotógrafos cinematógrafos</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</si>
  <si>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</si>
  <si>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</si>
  <si>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</si>
  <si>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</si>
  <si>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</si>
  <si>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</si>
  <si>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</si>
  <si>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</si>
  <si>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</si>
  <si>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</si>
  <si>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</si>
  <si>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</si>
  <si>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</si>
  <si>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</si>
  <si>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</si>
  <si>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</si>
  <si>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</si>
  <si>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</si>
  <si>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</si>
  <si>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</si>
  <si>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</si>
  <si>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</si>
  <si>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</si>
  <si>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</si>
  <si>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</si>
  <si>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</si>
  <si>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</si>
  <si>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</si>
  <si>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</si>
  <si>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</si>
  <si>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</si>
  <si>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3311403240-770</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</si>
  <si>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</si>
  <si>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</si>
  <si>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</si>
  <si>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</si>
  <si>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</si>
  <si>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</si>
  <si>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</si>
  <si>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</si>
  <si>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</si>
  <si>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</si>
  <si>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</si>
  <si>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</si>
  <si>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</si>
  <si>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</si>
  <si>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</si>
  <si>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</si>
  <si>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</si>
  <si>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</si>
  <si>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</si>
  <si>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</si>
  <si>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</si>
  <si>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</si>
  <si>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</si>
  <si>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</si>
  <si>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</si>
  <si>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</si>
  <si>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</si>
  <si>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</si>
  <si>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</si>
  <si>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</si>
  <si>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</si>
  <si>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</si>
  <si>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</si>
  <si>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</si>
  <si>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</si>
  <si>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</si>
  <si>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</si>
  <si>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</si>
  <si>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</si>
  <si>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</si>
  <si>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</si>
  <si>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</si>
  <si>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</si>
  <si>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</si>
  <si>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</si>
  <si>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</si>
  <si>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</si>
  <si>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</si>
  <si>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</si>
  <si>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</si>
  <si>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</si>
  <si>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</si>
  <si>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</si>
  <si>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</si>
  <si>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</si>
  <si>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</si>
  <si>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</si>
  <si>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</si>
  <si>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</si>
  <si>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</si>
  <si>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</si>
  <si>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</si>
  <si>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</si>
  <si>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</si>
  <si>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</si>
  <si>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</si>
  <si>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</si>
  <si>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</si>
  <si>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</si>
  <si>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</si>
  <si>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</si>
  <si>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</si>
  <si>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</si>
  <si>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</si>
  <si>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</si>
  <si>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</si>
  <si>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</si>
  <si>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</si>
  <si>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</si>
  <si>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</si>
  <si>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</si>
  <si>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</si>
  <si>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DIRECCIÓN ADMINISTRATIVA Y FINANCIERA - SUBDIRECCIÓN DE CONTRATACIÓN</t>
  </si>
  <si>
    <t>CÓDIGO PRESUPUESTAL</t>
  </si>
  <si>
    <t>NOMBRE RUBRO Y SUBRUBRO PRESUPUESTAL</t>
  </si>
  <si>
    <t>SERVICIOS PERSONALES INDIRECTOS</t>
  </si>
  <si>
    <t>Remuneración Servicios Técnicos</t>
  </si>
  <si>
    <t>GASTOS GENERALES</t>
  </si>
  <si>
    <t>Dotación</t>
  </si>
  <si>
    <t>Combustibles. Lubricantes y Llantas</t>
  </si>
  <si>
    <t>Materiales y Suministros</t>
  </si>
  <si>
    <t>Adquisición de Servicios</t>
  </si>
  <si>
    <t>Viáticos y Gastos de Viaje</t>
  </si>
  <si>
    <t>Impresos y Publicaciones</t>
  </si>
  <si>
    <t>Mantenimiento y Reparaciones</t>
  </si>
  <si>
    <t>Seguros</t>
  </si>
  <si>
    <t xml:space="preserve">Capacitación </t>
  </si>
  <si>
    <t>Bienestar e Incentivos</t>
  </si>
  <si>
    <t>Programas y Convenios Institucionales</t>
  </si>
  <si>
    <t>Publicidad</t>
  </si>
  <si>
    <t>OTROS GASTOS GENERALES</t>
  </si>
  <si>
    <t>INVERSIÓN</t>
  </si>
  <si>
    <t>Control social a la gestión pública</t>
  </si>
  <si>
    <t>TOTAL PRESUPUESTO UNIDAD 01</t>
  </si>
  <si>
    <t>CONTRATACIÓN PROGRAMADA PAA</t>
  </si>
  <si>
    <t>FUNCIONAMIENTO</t>
  </si>
  <si>
    <t xml:space="preserve">Nota 1:  El Plan Anual de Adquisiciones no incluye los rubros de: "Sentencias Judiciales" ni "Otras Sentencias"
</t>
  </si>
  <si>
    <t>Nota 4: El valor del Plan Anual de Adquisiciones será susceptible de modificación en la medida que surjan nuevas necesidades que no se tenían previstas para la vigencia.</t>
  </si>
  <si>
    <t>PLAN ANUAL DE ADQUISICIONES VIGENCIA 2016</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</si>
  <si>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</si>
  <si>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</si>
  <si>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</si>
  <si>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</si>
  <si>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</si>
  <si>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</si>
  <si>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</si>
  <si>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</si>
  <si>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desarrollo, matenimiento y soporte de los aplictivos PERNO-PREDIS-PAC-LIMAY - SAE-SAI de SI-CAPITAL.</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</si>
  <si>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</si>
  <si>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</si>
  <si>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</si>
  <si>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</si>
  <si>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</si>
  <si>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</si>
  <si>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</si>
  <si>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</si>
  <si>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r>
      <rPr>
        <b/>
        <sz val="11"/>
        <rFont val="Calibri"/>
        <family val="2"/>
      </rPr>
      <t xml:space="preserve">86101705 </t>
    </r>
    <r>
      <rPr>
        <sz val="11"/>
        <rFont val="Calibri"/>
        <family val="2"/>
      </rPr>
      <t>Capacitación administrativa</t>
    </r>
  </si>
  <si>
    <t xml:space="preserve">Inversión </t>
  </si>
  <si>
    <t>ANEXO 1
CONSOLIDADO REPORTE DE NECESIDADES PARA ADQUISICIÓN DE BIENES, SERVICIOS Y OBRAS, VIGENCIA 2016
DIRECCIÓN ADMINISTRATIVA Y FINANCIERA - SUBDIRECCIÓN DE CONTRATACIÓN</t>
  </si>
  <si>
    <t>Consultoría</t>
  </si>
  <si>
    <t>RESPONSABLE
(JEFE DEPENDENCIA)</t>
  </si>
  <si>
    <t>ESTADO</t>
  </si>
  <si>
    <t>Memorando 3-2015-26853 del 29-12-2015.</t>
  </si>
  <si>
    <t>(1) SUSCRIPCIÓN DIARIO LA REPUBLICA</t>
  </si>
  <si>
    <t>(3) SUSCRIPCIONES DIARIO EL ESPECTADOR</t>
  </si>
  <si>
    <t>GABRIEL GUZMÁN USECHE</t>
  </si>
  <si>
    <t xml:space="preserve">Memorando 3-2015-25728 del 09-12-2015 </t>
  </si>
  <si>
    <t xml:space="preserve">Memorando 3-2015-25725 del 09-12-2015 </t>
  </si>
  <si>
    <t>GUSTAVO MONZÓN GARZÓN</t>
  </si>
  <si>
    <t>VALOR CONTRATADO</t>
  </si>
  <si>
    <t>Prestación de servicios para la realización de un (1) programa de 3 tres (3) días para los servidores(as) prepensionados o próximos a su jubilación.</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</si>
  <si>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</si>
  <si>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t>Suministro de combustible de gasolina tipo corriente y ACPM, para el parque automotor de propiedad de la Contraloría de Bogotá D.C., y de los que llegare a ser legalmente responsable al servicio de la Entidad.</t>
  </si>
  <si>
    <t>META 2
Contratación de canales dedicados de internet y de datos.</t>
  </si>
  <si>
    <t>47121709                                                     Contenedor de residuos peligrosos</t>
  </si>
  <si>
    <t xml:space="preserve">En el marco del Programa de Gestión Integral de Residuos, no se cuenta con puntos ecológicos en algunas de las sedes de la Entidad que garanticen el adecuado almacenamiento de los Residuos Peligrosos que por su fragilidad requieren de un manejo especial, adicionalmente se atiende la sugerencia de la SDA en matería de implementación de puntos ecológicos </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</si>
  <si>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</si>
  <si>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</si>
  <si>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</si>
  <si>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</si>
  <si>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</si>
  <si>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Se redujo el valor presupuestado de $15 xxx a $8.633.642</t>
  </si>
  <si>
    <t>Proyecto 776 FORTALECIMIENTO DE LA CAPACIDAD INSTITUCIONAL PARA UN CONTROL FISCAL EFECTIVO Y TRANSPARENTE</t>
  </si>
  <si>
    <t>META</t>
  </si>
  <si>
    <t>PUNTO DE INVERSIÓN</t>
  </si>
  <si>
    <t>RECURSOS PROGRAMADOS
$</t>
  </si>
  <si>
    <t>RECURSOS EJECUTADOS</t>
  </si>
  <si>
    <t>%
EJECUCIÓN</t>
  </si>
  <si>
    <t>SALDO</t>
  </si>
  <si>
    <t>FECHA DE RADICACIÓN NECESIDAD</t>
  </si>
  <si>
    <t>OBSERVACIONES</t>
  </si>
  <si>
    <t>2. Implementar el 100% de las soluciones tecnológicas que involucran los componentes de hardware, software y comunicaciones  para el fortalecimiento de las TIC´s en la Contraloría de Bogotá.</t>
  </si>
  <si>
    <t>N/A</t>
  </si>
  <si>
    <t>SUBTOTAL META 2</t>
  </si>
  <si>
    <t>4. Adecuar áreas de trabajo para  cinco (5) sedes pertenecientes a la Contraloría de Bogotá.</t>
  </si>
  <si>
    <t>TOTAL META 4</t>
  </si>
  <si>
    <t>RECURSOS EJECUTADOS
$</t>
  </si>
  <si>
    <t>5. Implementar el 100% de los programas ambientales establecidos en el Plan Institucional de Gestión Ambiental PIGA 2012- 2016.</t>
  </si>
  <si>
    <t>TOTAL META 5</t>
  </si>
  <si>
    <t>6. Adquirir 16 vehículos por reposición para el ejercicio de la función de vigilancia y control a la gestión del control fiscal. (Meta cuatrienio)</t>
  </si>
  <si>
    <t>Adquirir  seis (6) vehículos por reposición para el ejercicio de la función de vigilancia y control  a la gestión fiscal.</t>
  </si>
  <si>
    <t>Se suprime la ejecución de la meta</t>
  </si>
  <si>
    <t>TOTAL META 6</t>
  </si>
  <si>
    <t>7. Organización de 2.000 metros lineales de los fondos documentales del Archivo Central de la Contraloría de Bogotá (identificación, organización, clasificación y
depuración).</t>
  </si>
  <si>
    <t>TOTAL META 7</t>
  </si>
  <si>
    <t>TOTAL PROYECTO DE INVERSION 776 VIGENCIA 2015</t>
  </si>
  <si>
    <t>PROYECTO 770 CONTROL SOCIAL A LA GESTIÓN PÚBLICA</t>
  </si>
  <si>
    <t>DENOMINACIÓN META</t>
  </si>
  <si>
    <t>RECURSOS PROGRAMADOS</t>
  </si>
  <si>
    <t>1. Desarrollar pedagogía social, formativa e ilustrativa</t>
  </si>
  <si>
    <t>2. Realizar acciones ciudadanas especiales</t>
  </si>
  <si>
    <t>3. Utilizar los medios locales de comunicación</t>
  </si>
  <si>
    <t>4. Desarrollar y ejecutar estrategias de comunicación.</t>
  </si>
  <si>
    <t>TOTAL PROYECTO DE INVERSION 770</t>
  </si>
  <si>
    <t>TOTAL PROYECTOS DE INVERSIÓN 776 Y 770</t>
  </si>
  <si>
    <t>Memorando 3-2016-02755 del 8-02-2016</t>
  </si>
  <si>
    <t>En elaboración de estudio previo</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</si>
  <si>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</si>
  <si>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</si>
  <si>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</si>
  <si>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</si>
  <si>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</si>
  <si>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</si>
  <si>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Contrato suscrito</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</si>
  <si>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</si>
  <si>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</si>
  <si>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</si>
  <si>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</si>
  <si>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</si>
  <si>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</si>
  <si>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</si>
  <si>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 xml:space="preserve">META 5.
 Adquisición de 1,500 bolsas biodegradables para residuos ordinarios y residuos reciclables. </t>
  </si>
  <si>
    <t>META 5.
Adquisición de puntos ecológicos para almacenamiento temporal de los residuos peligrosos generados en las sedes de la Contralorìa de Bogotá</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</si>
  <si>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</si>
  <si>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</si>
  <si>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</si>
  <si>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</si>
  <si>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META 7.
Prestación de Servicios como técnico archivista y administración documental para el apoyo al grupo de Gestión Documental</t>
  </si>
  <si>
    <t>SEGUIMIENTO PROYECTOS DE INVERSIÓN 2016</t>
  </si>
  <si>
    <t>META 5.
Prestación de Servicios de recolección, manejo, transporte y disposición final de los residuos peligrosos - tóneres, luminarias y envases contaminados - generados por la Contraloría de Bogotá.</t>
  </si>
  <si>
    <t>Memorando 3-2016-03974 del 17-02-2016</t>
  </si>
  <si>
    <t>Memorando 3-2016-03156 del 10-02-2016</t>
  </si>
  <si>
    <t>HENRY VARGAS DÍAZ</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</si>
  <si>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</si>
  <si>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</si>
  <si>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</si>
  <si>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</si>
  <si>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</si>
  <si>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</si>
  <si>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ALEXANDRA MORENO BRICEÑO</t>
  </si>
  <si>
    <t>Memorando 3-2014604140 del 18-02-2016</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</si>
  <si>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</si>
  <si>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</si>
  <si>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</si>
  <si>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</si>
  <si>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</si>
  <si>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</si>
  <si>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CARMEN SOFÍA PRIETO DUEÑAS</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</si>
  <si>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</si>
  <si>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</si>
  <si>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</si>
  <si>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Contratar la prestación de servicios para la ejecución de actividades campestres recreativas con ocasión a la celebración del día del niño y vacaciones recreativas en junio y diciembre..</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</si>
  <si>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</si>
  <si>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</si>
  <si>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</si>
  <si>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(2) SUSCRIPCIONES DIARIO EL TIEMPO
(2) SUSCRIPCIONES DIARIO PORTAFOLIO
Oficina Asesora de Comunicaciones y Contralor Auxiliar</t>
  </si>
  <si>
    <t>(2( SUSCRIPCIONES DIARIO EL TIEMPO
(1) SUSCRIPCION DIARIO PORTAFOLIO
Contralor y Economía y Política Pública</t>
  </si>
  <si>
    <t>Memorando 3-2015-26035 del 14-12-2015. 
Devuelto con observaciones.
Reenviado memorando 3-2016-00242 del 08-01-2016.
Contrato 2 del 01-02-2016 con la Lotería de Bogotá</t>
  </si>
  <si>
    <t>CONTRALORÍA DE BOGOTÁ,D.C.</t>
  </si>
  <si>
    <t>NIT: 800245133-5</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</si>
  <si>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</si>
  <si>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</si>
  <si>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</si>
  <si>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</si>
  <si>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</si>
  <si>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</si>
  <si>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</si>
  <si>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</si>
  <si>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</si>
  <si>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</si>
  <si>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</si>
  <si>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</si>
  <si>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</si>
  <si>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</si>
  <si>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</si>
  <si>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</si>
  <si>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</si>
  <si>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</si>
  <si>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</si>
  <si>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</si>
  <si>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</si>
  <si>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</si>
  <si>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</si>
  <si>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</si>
  <si>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SUPERVISOR</t>
  </si>
  <si>
    <t xml:space="preserve">  INFORMACIÓN SUPERVISOR</t>
  </si>
  <si>
    <t>DEPENDENCIA SOLICITANTE
 - ECO -</t>
  </si>
  <si>
    <t>TEMA</t>
  </si>
  <si>
    <t>NIT O C.C.</t>
  </si>
  <si>
    <t>DV</t>
  </si>
  <si>
    <t>NOMBRE</t>
  </si>
  <si>
    <t>DIRECCIÓN</t>
  </si>
  <si>
    <t>TELÉFONO</t>
  </si>
  <si>
    <t>MAIL</t>
  </si>
  <si>
    <t>TIPO CONFIGURACIÓN</t>
  </si>
  <si>
    <t>Nº</t>
  </si>
  <si>
    <t>FECHA</t>
  </si>
  <si>
    <t>VALOR</t>
  </si>
  <si>
    <t>CÓDIGO RUBRO</t>
  </si>
  <si>
    <t>DENOMINACIÓN RUBRO</t>
  </si>
  <si>
    <t>PROYECTO DE INVERSIÓN</t>
  </si>
  <si>
    <t>ENERO</t>
  </si>
  <si>
    <t>CB SASI 051 2015</t>
  </si>
  <si>
    <t>Adición No. 1 Contrato 64 de  2015 con INDUSTRIA COLOMBIANA DE CONFECCIONES Y DOTACIONES HS SAS</t>
  </si>
  <si>
    <t>Adición No. 1 Contrato 64 de  2015, objeto: Suministro y canje de bonos personalizados redimibles única y exclusivamente para la dotación de vestido y calzado para las funcionarias y funcionarios de la Contraloría de Bogotá</t>
  </si>
  <si>
    <t>15 15-Selección Abreviada - Subasta Inversa</t>
  </si>
  <si>
    <t xml:space="preserve">42 42-Suministro de Bienes en general </t>
  </si>
  <si>
    <t>INDUSTRIA COLOMBIANA DE CONFECCIONES Y DOTACIONES HS SAS</t>
  </si>
  <si>
    <t>Carrera 69 B No 100-67</t>
  </si>
  <si>
    <t>271 4200</t>
  </si>
  <si>
    <t>25 25-Sociedad por Acciones Simplificadas - SAS</t>
  </si>
  <si>
    <t xml:space="preserve">53101900 Traje
531016 Faldas y blusas (camisas para
hombre)
531116 Zapato
531025 Accesorios de
vestir (corbata)
</t>
  </si>
  <si>
    <t>NA</t>
  </si>
  <si>
    <t>2 2-Funcionamiento</t>
  </si>
  <si>
    <t>Recursos del Distrito (Transferencia)</t>
  </si>
  <si>
    <t>Seguros del Estado
No. 1444-101076158
del 22-01-2016</t>
  </si>
  <si>
    <t>NA ADICIÓN</t>
  </si>
  <si>
    <t>SUBDIRECTORA DE BIENESTAR SOCIAL</t>
  </si>
  <si>
    <t>GLORIA ALEXANDRA MORENO BRICEÑO</t>
  </si>
  <si>
    <t>51.898.556 </t>
  </si>
  <si>
    <t xml:space="preserve">CB-CD-76-2015
</t>
  </si>
  <si>
    <t>Adición y Prórroga contrato 56 de 2015 con JAVIER ENRIQUE PAIPILLA ARANGO</t>
  </si>
  <si>
    <t>Adición y Prórroga contrato 56 de 2015, objeto: Prestar los servicios de apoyo a la Contraloría de Bogotá, D.C. en aspectos relacionados con la organización y manejo de bienes muebles y fungibles de acuerdo a los establecido en los procesos y procedimientos de recursos físicos de la Entidad.</t>
  </si>
  <si>
    <t>12 12-Contratación Directa (Ley 1150 de 2007)</t>
  </si>
  <si>
    <t xml:space="preserve">31 31-Servicios Profesionales </t>
  </si>
  <si>
    <t>6 6: Prestación de servicios</t>
  </si>
  <si>
    <t>JAVIER ENRIQUE PAIPILLA ARANGO</t>
  </si>
  <si>
    <t>CARRERA 65 # 79A-80</t>
  </si>
  <si>
    <t>3104867362
Nacimiento: Bogotá
Fecha:06-03-1993
EPS: Salud Total
AFP: Protección</t>
  </si>
  <si>
    <t>j.vi.er93@gmail.com</t>
  </si>
  <si>
    <t>26 26-Persona Natural</t>
  </si>
  <si>
    <t>80111601 Asistencia de oficina o administrativa temporal</t>
  </si>
  <si>
    <t>Remuneración servicios Técnicos</t>
  </si>
  <si>
    <t>Liberty Seguros S.A
2513636 del 25-01-2016</t>
  </si>
  <si>
    <t>SUBDIRECTOR DE RECURSOS MATERIALES</t>
  </si>
  <si>
    <t>CB-CD-79-2015</t>
  </si>
  <si>
    <t>Adición y prórroga contrato 60 de 2015 con FABIO ENRIQUE SIERRA FLOREZ</t>
  </si>
  <si>
    <t>Adición y prórroga contrato 60 de 2015, objeto: 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</si>
  <si>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FABIO ENRIQUE SIERRA FLOREZ</t>
  </si>
  <si>
    <t xml:space="preserve">Cra. 72 Bis No. 25B-50
</t>
  </si>
  <si>
    <t>3212320339
Nació. Bogotá, Fecha: 25-07-1954
EPS: Sanitas EPS.
AFP: Colpensiones</t>
  </si>
  <si>
    <t>contratos.contraloriabogota.gov.co</t>
  </si>
  <si>
    <t xml:space="preserve">80101509 Servicios de
,.asesoramiento
para asuntos
gubernamentales
y de relaciones
 comunitarias. </t>
  </si>
  <si>
    <t>Seguros del Estado
1744101127167 del 21-01-2016</t>
  </si>
  <si>
    <t>FALTA</t>
  </si>
  <si>
    <t>DIRECTOR DE PARTICIPACIÓN CIUDADANA Y DESARROLLO LOCAL</t>
  </si>
  <si>
    <t>GABRIEL ALEJANDRO GUZMÁN USECHE</t>
  </si>
  <si>
    <t>DIRECCIÓN DE PARTICIPACIÓN CIUDADANA Y DESARROLLO LOCAL</t>
  </si>
  <si>
    <t>CB-CD-76-2015</t>
  </si>
  <si>
    <t>Adición No. 1  y pórroga No. 1 Contrato 59 de 2015 con CARLOS ANDRES CORTES BARRIOS</t>
  </si>
  <si>
    <t>Prestar los servicios de apoyo al proceso de Recursos Físicos en aspectos relacionados con el manejo de herramientas ofimáticas; en los componentes administrativos SAE y SAI del ERP SI CAPITAL en el área de almacén e inventarios.</t>
  </si>
  <si>
    <t>CARLOS ANDRES CORTES BARRIOS</t>
  </si>
  <si>
    <t>Calle 137 No. 91-40 Int. 7 Apto 503</t>
  </si>
  <si>
    <t>3123795493
Nacimiento: Bogotá, 
Fecha: 05-08-1977
EPS: Sanitas
AFP: Porvenir</t>
  </si>
  <si>
    <t>andresco4@gmail.com</t>
  </si>
  <si>
    <t>80161506 Servicios de archivo de datos</t>
  </si>
  <si>
    <t>3110204</t>
  </si>
  <si>
    <t>Seguros del Estado
1744101127159 del 22-01-2016</t>
  </si>
  <si>
    <t>ADICIONES A CONTRATOS 2016</t>
  </si>
  <si>
    <t>Impuestos.Tasas.Contribuciones. Derechos y Multas</t>
  </si>
  <si>
    <t>Nota 2: No incluye Avances. gastos por Caja Menor. pagos por Resolución ni servicios públicos</t>
  </si>
  <si>
    <t>Memorando 3-2016-04294 del 22-02-2016</t>
  </si>
  <si>
    <t xml:space="preserve">Contratar el suministro y canje de bonos personalizados redimibles única y exclusivamente para la dotación de vestido y calzado para las servidoras y seravidores de la Contraloría de Bogotá D.C. </t>
  </si>
  <si>
    <t>Cumplimiento de la normatividad  establecida en el Decreto 1978 de 1989 reglamentario de la Ley 70 de 1988 y contribuir al bienestar de los funcionarios de la Contraloría de Bogotá.</t>
  </si>
  <si>
    <t>Memorando 3-2015-25467 del 04-12-2015
Devuelto para ajustes con memorando 3-2016-00473 del 13-01-2016
Reenviado Memorando   3-2016-04715 del 25-02-2016.</t>
  </si>
  <si>
    <t>3120210</t>
  </si>
  <si>
    <t>Memorando 3-2016-00574 del 14-01-2016.
Memorando 3-2016-05167 del 01-03-2016</t>
  </si>
  <si>
    <t>CB-LP-15-2015</t>
  </si>
  <si>
    <t>Adición 3 y prórroga 1 contrato 36 de 2015 con VIGIAS DE COLOMBIA S.R.L. LTDA</t>
  </si>
  <si>
    <t>Adición y prórroga contrato 36 de 2015 con VIGIAS DE COLOMBIA S.R.L. LTDA Objeto: 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</si>
  <si>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4 4-Proceso Licitatorio</t>
  </si>
  <si>
    <t>VIGIAS DE COLOMBIA S.R.L. LTDA</t>
  </si>
  <si>
    <t>Carrera 19 No. 166-34</t>
  </si>
  <si>
    <t>6 6-Sociedad Ltda.</t>
  </si>
  <si>
    <t>92121500 Servicios de
guardas de seguridad
92121700  Servicios de
sistemas de seguridad</t>
  </si>
  <si>
    <t>Seguros del Estado (Póliza Cumplimiento)
Nº 11-44-101068978
del 18-02-2016.
Seguros del Estado (Póliza Responsabilidad Civil)
No. 1040101016082
del 18-02-2016.</t>
  </si>
  <si>
    <t>SUBDIRECTOR DE SERVICIOS GENERALES</t>
  </si>
  <si>
    <t>GUSTAVO FRANCISCO MONZÓN GARZÓN</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</si>
  <si>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</si>
  <si>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</si>
  <si>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Memorando del 28-01-2016.
Contrato 3 del 02-02-2016 con YASMINA GRACIELA ARAUJO RORIGUEZ</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</si>
  <si>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</si>
  <si>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</si>
  <si>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</si>
  <si>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</si>
  <si>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</si>
  <si>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Memorando del 29-01-2016.
Contato 5 del 17-02-2016 con AMAIDA PALACIOS JAIMES</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</si>
  <si>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</si>
  <si>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</si>
  <si>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Memorando del 08-02-2016.
Contrato 6 del 17-02-2016 con ERIKA VIVIANA GARZÓN ZAMORA</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</si>
  <si>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</si>
  <si>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</si>
  <si>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</si>
  <si>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Contratar los servicios profesionales de SGS COLOMBIA S.A. ente certificador para una visita, de seguimiento del Sistema de Gestión de Calidad - SGC-, bajo las normas técnicas NTC ISO 9001:2008 y NTCGP 1000:2009.</t>
  </si>
  <si>
    <t>Memorando 3-2016-0922 del 18-01-2016.
Contato 8 del 17-02-2016 con SGS COLOMBIA S.A.</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</si>
  <si>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</si>
  <si>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</si>
  <si>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</si>
  <si>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</si>
  <si>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</si>
  <si>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</si>
  <si>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</si>
  <si>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</si>
  <si>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Memorando 3-2015-26853 del 29-12-2015. 
Contaro 11 del 22-02-2016 con PUBLICACIONES SEMANA S.A</t>
  </si>
  <si>
    <t xml:space="preserve">Contratar el servicio de monitoreo de medios de prensa, radio, televisión e Internet para la Contraloría de Bogotá D.C. </t>
  </si>
  <si>
    <t>83121700 Servicios
relacionados
con la televisión,
radio, internet y
sistemas de
alerta ciudadana</t>
  </si>
  <si>
    <t>Memorando 3-2015-26295 del 18-12-2015.
Memorando 3-2016-00994 del 21-01-2016.
Contrato 12 del 22-02-2016 con MEDICIONES Y MEDIOS SAS</t>
  </si>
  <si>
    <t>Memorando 3-2016-01393 del 27-01-2016.
Contrato 13 del 24-02-2016 con PEDRO LUIS SOLER MONGUE</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</si>
  <si>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</si>
  <si>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</si>
  <si>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</si>
  <si>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Contyrato 16 del 26-02-2016 con ANYI TATIANA FORERO MARTIN</t>
  </si>
  <si>
    <t>Memorando del 08-02-2016.
Contrato 17 del 29-02-2016 con GINNA MARCELA BONILLA</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</si>
  <si>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</si>
  <si>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</si>
  <si>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t>Memorando del 08-02-2016.</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</si>
  <si>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</si>
  <si>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</si>
  <si>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 xml:space="preserve">Memorando del 08-02-2016.
</t>
  </si>
  <si>
    <t>Por determinar</t>
  </si>
  <si>
    <t>META 7.
Recursos de inversión disponibles.</t>
  </si>
  <si>
    <t>META 2
Adquisición e instalación de sistema de aire acondicionado In Row para Datacenter.</t>
  </si>
  <si>
    <t>META 5.
Prestación del servicio de diseño de un sistema de reutilización de aguas lluvias,  presentación de alternativas tecnològicas de ahorro de agua en la Contraloria de Bogotá y asesoría y acompañamiento en los trámites para el Registro de vertimientos de la Entidad.</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</si>
  <si>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</si>
  <si>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FEBRERO</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</si>
  <si>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</si>
  <si>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META 7.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</si>
  <si>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META 7.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</si>
  <si>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Recursos de inversión disponibles.</t>
  </si>
  <si>
    <t>5. Desarrollar 7 Actividades y/o estrategias institucionales e interinstitucionales en el marco del Plan Anticorrupcion de la Contraloría de Bogotá. (Logística de eventos)</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</si>
  <si>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</si>
  <si>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9"/>
        <rFont val="Arial"/>
        <family val="2"/>
      </rPr>
      <t>META 1</t>
    </r>
    <r>
      <rPr>
        <sz val="9"/>
        <rFont val="Arial"/>
        <family val="2"/>
      </rPr>
      <t xml:space="preserve"> </t>
    </r>
    <r>
      <rPr>
        <b/>
        <sz val="9"/>
        <rFont val="Arial"/>
        <family val="2"/>
      </rPr>
      <t xml:space="preserve">Proyecto 770. </t>
    </r>
    <r>
      <rPr>
        <sz val="9"/>
        <rFont val="Arial"/>
        <family val="2"/>
      </rPr>
      <t xml:space="preserve">Desarrollar pedagogía social, formativa e ilustrativa $290.000.000
</t>
    </r>
    <r>
      <rPr>
        <b/>
        <sz val="9"/>
        <rFont val="Arial"/>
        <family val="2"/>
      </rPr>
      <t xml:space="preserve">META 2 Proyecto 770. </t>
    </r>
    <r>
      <rPr>
        <sz val="9"/>
        <rFont val="Arial"/>
        <family val="2"/>
      </rPr>
      <t xml:space="preserve"> Realizar acciones ciudadanas especiales $200.000.000
</t>
    </r>
    <r>
      <rPr>
        <b/>
        <sz val="9"/>
        <rFont val="Arial"/>
        <family val="2"/>
      </rPr>
      <t xml:space="preserve">META 3 Proyecto 770. </t>
    </r>
    <r>
      <rPr>
        <sz val="9"/>
        <rFont val="Arial"/>
        <family val="2"/>
      </rPr>
      <t xml:space="preserve"> Utilizar los medios locales de comunicación $51.800.000</t>
    </r>
  </si>
  <si>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t>
    </r>
    <r>
      <rPr>
        <b/>
        <sz val="10"/>
        <rFont val="Arial"/>
        <family val="2"/>
      </rPr>
      <t xml:space="preserve">Proyecto 770. </t>
    </r>
    <r>
      <rPr>
        <sz val="10"/>
        <rFont val="Arial"/>
        <family val="2"/>
      </rPr>
      <t xml:space="preserve">Desarrollar pedagogía social, formativa e ilustrativa $290.000.000
</t>
    </r>
    <r>
      <rPr>
        <b/>
        <sz val="10"/>
        <rFont val="Arial"/>
        <family val="2"/>
      </rPr>
      <t xml:space="preserve">META 2 Proyecto 770. </t>
    </r>
    <r>
      <rPr>
        <sz val="10"/>
        <rFont val="Arial"/>
        <family val="2"/>
      </rPr>
      <t xml:space="preserve"> Realizar acciones ciudadanas especiales $200.000.000
</t>
    </r>
    <r>
      <rPr>
        <b/>
        <sz val="10"/>
        <rFont val="Arial"/>
        <family val="2"/>
      </rPr>
      <t xml:space="preserve">META 3 Proyecto 770. </t>
    </r>
    <r>
      <rPr>
        <sz val="10"/>
        <rFont val="Arial"/>
        <family val="2"/>
      </rPr>
      <t xml:space="preserve"> Utilizar los medios locales de comunicación $51.800.000</t>
    </r>
  </si>
  <si>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</si>
  <si>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t>Prestar los servicios profesionales a la Dirección de Hábitat y Ambiente de la Controlaría de Bogotá, D.C., en desarrollo de los temas técnicos ambientales relacionados con el proceso auditor en cumplimiento del PAD 2016.</t>
  </si>
  <si>
    <t>Cámaras digitales
45121506 Cámaras de video conferencia
Cámaras grabadoras o video cámaras digitales
45121603 Lentes para cámaras
45121601 Flash o iluminación para cámaras</t>
  </si>
  <si>
    <t>Adquirir dos cámaras fotográficas, lente, micrófonos de acuerdo a las especificaciones técnicas establecidas por la Contraloría de Bogotá.</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</si>
  <si>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</si>
  <si>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 xml:space="preserve">Memorando 3-2016-06416 del 14-03-2016.
</t>
  </si>
  <si>
    <t>Prestación del servicio de área protegida de las urgencias y emergencias médicas las venticuatro (24) horas durante la vigencia del contrato en las diferentes sedes de la Contraloría de Bogotá, para funcionarios, usuarios, proveedores y visitantes de la Entidad.</t>
  </si>
  <si>
    <t>META 7.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</si>
  <si>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SUSPENSIÓN PROVISIONAL
Circular Conjunta 
SDH-SDP
No. 01 del 07-01-2016</t>
  </si>
  <si>
    <t>VALOR  ($)
PRESUPUESTO 
VIGENCIA 2016
Decreto 533 del 15-12- 2015</t>
  </si>
  <si>
    <t>PRESUPUESTO DISPONIBLE CON SUSPENSIÓN PROVISIONAL
5=(3-4)</t>
  </si>
  <si>
    <t xml:space="preserve">VALOR ($)
PRESUPUESTADO POR LAS DEPENDENCIAS SOLICITANTES </t>
  </si>
  <si>
    <t xml:space="preserve">VALOR 
CONTRATADO 
</t>
  </si>
  <si>
    <t>RECURSOS COMPROMETIDOS CON CDP
(12)=(3-11)</t>
  </si>
  <si>
    <t xml:space="preserve">ADICIONES A CONTRATOS
</t>
  </si>
  <si>
    <t>Adición suscrita</t>
  </si>
  <si>
    <t>Memorando del 02-03-2016.
Adición 1 y Prórroga 1 al contrato 118 del 2015, con  MARÍA CATALINA SÁENZ HIGUERA</t>
  </si>
  <si>
    <t>MARZO</t>
  </si>
  <si>
    <t>CB-CD-140-2015</t>
  </si>
  <si>
    <t>Adición 1 y Prórroga 1 al contrato 118 del 2015, con  MARÍA CATALINA SÁENZ HIGUERA</t>
  </si>
  <si>
    <t>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</si>
  <si>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MARÍA CATALINA SÁENZ HIGUERA</t>
  </si>
  <si>
    <t>Calle 163B No. 50-32 Interior 4 Apto 216 La Estancia 1</t>
  </si>
  <si>
    <t>3138284263
Nacimiento: 19-09-1984
Tunja (Boyacà)
AFP: Protección
Salud:  Café Salud.
Abogado</t>
  </si>
  <si>
    <t>catalinasaenzh@hotmail.com</t>
  </si>
  <si>
    <t>26 26-Persona Natural con establecimiento de comercio</t>
  </si>
  <si>
    <t>1 1 -Inversión</t>
  </si>
  <si>
    <t>Liberty Seguros S.A No. 2597114 del 03-08-2016</t>
  </si>
  <si>
    <t>CB-CD-56-2015</t>
  </si>
  <si>
    <t>Adición y prórroga al contrato 41 de 2015 con VANDERLEY CHAUCANAS CASTAÑEDA</t>
  </si>
  <si>
    <t>Adición y prórroga al contrato 41 de 2015 con VANDERLEY CHAUCANAS CASTAÑEDA, objeto: Prestar servicio de apoyo a la Contraloría en aspectos relacionados con la planeación, organización, desarrollo y seguimiento de los procesos y procedimientos del Almacén General.</t>
  </si>
  <si>
    <t>VANDERLEY CHAUCANAS CASTAÑEDA</t>
  </si>
  <si>
    <t>Cra. 90 A No.4-40 Casa 55</t>
  </si>
  <si>
    <t>3144422038
Nacimiento: 23-08-1976
Bogotá.
Ocupación: Auxiliar administrativo y afines.
EPS: EPS Sánitas 
AFP: Colfondos S.A
Mail: chauca1@live.com</t>
  </si>
  <si>
    <t>chauca1@live.com</t>
  </si>
  <si>
    <t>Aseguradora Solidaria de Colombia
35047994000003585 del XX</t>
  </si>
  <si>
    <t>Memorando  3-2016-04135 del 18-02-2016.
Contrato 20 del 08-03-2016 con CAROLINA FERNANDA GARROTE WILCHES</t>
  </si>
  <si>
    <t>Memorando del 08-02-2016.
Contrato 20 del 10-03-2016 con HEDDER ALEJANDRO VALLEJO FRANCO</t>
  </si>
  <si>
    <t>Memorando  3-2016-02627 del 5-02-2016.
Contrato 21 del 15-03-2016 con EMPRESA DE MEDICINA INTEGRAL GRUPO EMI S.A.</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</si>
  <si>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</si>
  <si>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Contratar la preproducción, producción y posproducción de dos videos institucionales de 30 seg  en  HD y 20 copias en formato DVD, para la Agencia Nacional de Televisión (ANTV)</t>
  </si>
  <si>
    <t>Elaboración de piezas comunicacionales (3 módulos informativos, 10 pendones, 200 cartillas institucionales, 1000 separadores de libros, 1500 stickers y 1500 cuadernos)</t>
  </si>
  <si>
    <t xml:space="preserve">META 5.
Adición 1 y prórroga 1 al Contrato 062 de 2015 con Areas Verdes Ltda. Objeto: Contratar la prestación del servicio de mantenimiento de material vegetal para la Contraloría de Bogotá.
</t>
  </si>
  <si>
    <t>Proyecto</t>
  </si>
  <si>
    <t xml:space="preserve">ACTUAL </t>
  </si>
  <si>
    <t xml:space="preserve">DISPONIBLE </t>
  </si>
  <si>
    <t>1,2,3</t>
  </si>
  <si>
    <t>Control Social a la Gestion Pùblica                                 770</t>
  </si>
  <si>
    <t>Fortalecimiento de la Capacidad Institucional para un Control Efectivo y Transparente                         776</t>
  </si>
  <si>
    <t>Nota 5:  El valor contratado de inversión, incluye las adiciones a contratos</t>
  </si>
  <si>
    <t>META 2
Contratación de servicios de desarrollo, matenimiento y soporte de los aplicativos PERNO-PREDIS-PAC-LIMAY - SAE-SAI de SI-CAPITAL.</t>
  </si>
  <si>
    <t>Adquisición de 1.100 Licencias de antivirus por un (1) año, para los computadores de la Contraloría de Bogotá, distribuidas de la siguiente manera: 1070 licencias para computadores personales (todo en uno, escritorio y portátiles) y 30 licencias para servidores (físicos y virtuales).</t>
  </si>
  <si>
    <t>Memorando 3-2016-03692 del 15-02-2016.
Devuelto memorando  3-2016-06731 del 16-03-2016.
Reenviado: 3-2016-07384 del 29-03-2016</t>
  </si>
  <si>
    <t>Memorando: 3-2016-07461 del 30-03-2016</t>
  </si>
  <si>
    <t>Prestación de servicios especializado para la realización de tres (3) caminatas ecológicas, cada una con grupos de 52 personas para un total de 156 personas, (servidores y familias) de la Contraloría de Bogotá,D.C.</t>
  </si>
  <si>
    <t>Memorando 3-2016-07463 del 30-03-2016</t>
  </si>
  <si>
    <t xml:space="preserve">Prestación de servicios para el desarrollo de (4) jornadas de intervención en clima organizacional con la finalidad de fortalecer el ambiente laboral y la gestión institucional en los funcionarios de la Contraloría de Bogotá. </t>
  </si>
  <si>
    <t>Mìnima cuantía</t>
  </si>
  <si>
    <t>Memorando 3-2016-07469 del 30-03-2016</t>
  </si>
  <si>
    <t>Adquisición de 300 apoyapies apoyapies para la Contraloría de Bogotá, D.C.</t>
  </si>
  <si>
    <t>Memorando: 3-2016-07470 del 30-03-2016</t>
  </si>
  <si>
    <t>Contratar la adquisición de dos(2) sillas de evacuación por escaleras para personas con movilidad reducida</t>
  </si>
  <si>
    <t>Memorando 3-2016-07473 del 30-03-2016</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</si>
  <si>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</si>
  <si>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Se requiere contratar el programa del sistema integrado de  conservación para Archivo Documental.</t>
  </si>
  <si>
    <t>META 7.
Programa de capacitación Decreto 1080 de 2015 y Ley 594 de 2000</t>
  </si>
  <si>
    <t>Se requiere contratar el programa de capacitación en el Decreto 1080 de 2015 y Ley 594 de 2000.</t>
  </si>
  <si>
    <t>Se radicó memorando solicitando adición y prórroga de fecha 30-03-2016</t>
  </si>
  <si>
    <t>FECHA DE CORTE: 31-03-2016</t>
  </si>
  <si>
    <t>Fecha de corte: 31-03-2016</t>
  </si>
  <si>
    <t>META 2
Adquisición de 1.000 Licencias de uso por un (1) año de Microsoft Office 365 Enterprise en el Plan -E1</t>
  </si>
  <si>
    <t>Selección Abreviada Acuerdo Marco de Precios</t>
  </si>
  <si>
    <t>TOTAL ADICIONES MARZO 2016</t>
  </si>
  <si>
    <t xml:space="preserve">SALDO APROPIACIÓN DISPONIBLE SEGÚN PREDIS A 31 DE MARZO DE 2016 
</t>
  </si>
  <si>
    <t>CB-SASI-130-2015</t>
  </si>
  <si>
    <t>Adición 1 y Prórroga 1 al  Contrato 125 de 2015 con UNION TEMPORAL CONTRALORIA 130-2015</t>
  </si>
  <si>
    <t>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</si>
  <si>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Selección Abreviada</t>
  </si>
  <si>
    <t xml:space="preserve">121 121-Compraventa (Bienes Muebles) </t>
  </si>
  <si>
    <t>UNION TEMPORAL CONTRALORIA 130-2015</t>
  </si>
  <si>
    <t>Calle 59ª No. 5-53 oficina 206</t>
  </si>
  <si>
    <t>1 1-Unión Temporal</t>
  </si>
  <si>
    <t>52161500 Equipos audiovisuales
45111800 Equipos de presentación
de video y de mezcla de
video y sonido, hardware
y controladores
45111700 Equipos de composición
y presentación de sonido,
hardware y controladores
45111600 Proyectores y
suministros</t>
  </si>
  <si>
    <t>Confianza
No. 24 GU053361 del XX</t>
  </si>
  <si>
    <t>DIRECTORA DE TECNOLOGÍAS DE LA INFORMACIÓN Y LAS COMUNICACIONES</t>
  </si>
  <si>
    <t>Se requiere adquisición de Equipos Tecnológicos para dotar las salas de Capacitación y Sala Contralores del Piso 9o.</t>
  </si>
  <si>
    <t>Memorando 3-2016-05765 del 07-03-2016</t>
  </si>
  <si>
    <t>META 2
Adición 1 y Prórroga 1 al  Contrato 125 de 2015 con UNION TEMPORAL CONTRALORIA 130-2015. Objeto: Contratar la Adquisición de tableros o Pantallas interactivos.</t>
  </si>
  <si>
    <t>3120212</t>
  </si>
  <si>
    <t>SUSPENSIÓN INVERSION 2016</t>
  </si>
  <si>
    <t>SUSPENSIÓN</t>
  </si>
  <si>
    <t>% SUSPENSIÓN</t>
  </si>
  <si>
    <t>DISPONIBLE PRESUPUESTO INVERSION PROYECTOS 770 Y 776</t>
  </si>
  <si>
    <t>Total Suspensión Provisional</t>
  </si>
  <si>
    <t xml:space="preserve">Total suspensión Inversión </t>
  </si>
  <si>
    <t xml:space="preserve">Total suspensión Funcionamiento </t>
  </si>
  <si>
    <t>En revisión de estudio previo</t>
  </si>
  <si>
    <t>Verificación de documentos habilitantes y requerimiento subsanación hasta el 31 de marzo de 2016</t>
  </si>
  <si>
    <t>Observaciones al proyecto de pliego de condiciones</t>
  </si>
  <si>
    <t>Presentación de documentos habilitantes de verificación y propuestas económicas 31 de marzo 10:00 a.m.</t>
  </si>
  <si>
    <t>Respuesta a las observaciones realizadas a la invitación del 30 de marzo de 2016.</t>
  </si>
  <si>
    <t>Recursos disponibles de la contratación realizada. 
Por determinar necesidad.</t>
  </si>
  <si>
    <t>Por determinar necesidad</t>
  </si>
  <si>
    <r>
      <rPr>
        <b/>
        <sz val="10"/>
        <rFont val="Arial"/>
        <family val="2"/>
      </rPr>
      <t>META 4 Proyecto 770:</t>
    </r>
    <r>
      <rPr>
        <sz val="10"/>
        <rFont val="Arial"/>
        <family val="2"/>
      </rPr>
      <t xml:space="preserve">
Recursos disponibles de la contratación realizada</t>
    </r>
  </si>
  <si>
    <t>Se devolvió para ajustes en el Anexo 3 y Estudios Previos, de acuerdo a la normatividad vigente. 29 de marzo de 2016.</t>
  </si>
  <si>
    <t>En proceso contractual</t>
  </si>
  <si>
    <t>+</t>
  </si>
  <si>
    <t xml:space="preserve">Adición 1 y Prórroga 1 al  Contrato 125 de 2015 con UNION TEMPORAL CONTRALORIA 130-2015. </t>
  </si>
  <si>
    <r>
      <rPr>
        <b/>
        <sz val="10"/>
        <rFont val="Arial"/>
        <family val="2"/>
      </rPr>
      <t xml:space="preserve">META 4 Proyecto 770:
</t>
    </r>
    <r>
      <rPr>
        <sz val="10"/>
        <rFont val="Arial"/>
        <family val="2"/>
      </rPr>
      <t>Recursos disponibles de la contratación realizada</t>
    </r>
  </si>
  <si>
    <t xml:space="preserve">AVANCE CUMPLIMIENTO EJECUCION PLAN DE ADQUISICIONES
</t>
  </si>
  <si>
    <t>Prestación de servicios para el desarrollo de las actividades que con llevan la aplicabilidad del "Plan Institucional de Seguridad Vial" -PlSV.</t>
  </si>
  <si>
    <t>Adquisición e instalación de la señalización y elementos de seguridad industrial para las cinco (5) sedes de la Contraloría de  Bogotá, D.C.</t>
  </si>
  <si>
    <t>Prestación del servicio de admisión, tratamiento, curso y entrega de correo certificado a nivel urbano, nacional e internacional de las diferentes comunicaciones generadas por las  dependencias y direcciones de la Contraloria de Bogotá,D.C.</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</si>
  <si>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</si>
  <si>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Prestar los servicios para la realización de exámenes de medicina preventiva para  los servidores públicos de la Contraloría de Bogotá, D,C., de conformidad con las especificaciones técnicas.</t>
  </si>
  <si>
    <t xml:space="preserve">Contratar la prestación de Servicios y la elaboración de material pedagógico y promocional para el lanzamiento del Subsistema de Gestión de la Seguridad y Salud en el Trabajo, en el marco de la XXI Semana de la Seguridad y Salud en el Trabajo de la Contraloría de Bogotá, D.C. </t>
  </si>
  <si>
    <t>Mantenimiento preventivo y correctivo integral con el suministro de repuestos para las diferentes "UPS" y la planta eléctrica de la Contraloría de Bogotá.</t>
  </si>
  <si>
    <t>Adquisición de kit de carretera y botiquines con sus respectivos elementos para dotar el parque automotor de propiedad de  la Contraloría de Bogotá y/o de los que llegare a ser legalmente responsable.</t>
  </si>
  <si>
    <t>Recursos disponibles de la contratación realizada</t>
  </si>
  <si>
    <t xml:space="preserve">Se hace necesario contratar los servicios de profesor de canto para fortalecer las actividades sociales y culturales para que representen a la entidad en muestras culturales distritales. </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</si>
  <si>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 Impartir capacitaciones en temas de Normas Técnicas de Calidad ISO 9001, GP 1000, 14000, entre otras.</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</si>
  <si>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</si>
  <si>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Prestación de servicios </t>
  </si>
  <si>
    <t>Realizar acciones de capacitación en  Normas Internacionales de Información Financiera  NIIF, dirigida a funcionarios de las áreas apoyo y misional.</t>
  </si>
  <si>
    <t>Memorando 3-2015-25996 del 14-12-2015.
Devuelto con memorando 3-2016-01084 del 22-01-2016, para realizar ajustes a la necesidad en especificaciones técnicas y materia ambiental.</t>
  </si>
  <si>
    <t>Radicación necesidad: Memorando 3-2016-07557 del 30-03-2016.
En elaboración de estudio previo.</t>
  </si>
  <si>
    <t>Radicación necesidad: Memorando 3-2016-07557 del 30-03-2016</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</si>
  <si>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</si>
  <si>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SALDO = PRESUPUESTO DISPONIBLE CON SUSPENSIÓN Menos VALOR CONTRATADO Menos ADICIONES A CONTRATOS
9=(5-7-8)</t>
  </si>
  <si>
    <t>DIFERENCIA: VR. PPTO 2016- VR.  SOLICITADO- ADICIONES 
(10)=(3-6-8)</t>
  </si>
  <si>
    <t>Selección Abreviada- Menor cuantía</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</si>
  <si>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los funcionarios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organizando un evento en una jornada para el lanzamiento de dicho Sistema, centrando la atención de todos los funcionarios en los objetivos del mismo, para facilitar la prevención y el control de los riesgos laborales, mediante actividades de seguridad y salud en el Trabajo.</t>
  </si>
  <si>
    <t>93141701
Organización de eventos culturales
55101515 Material promocional o reportes anuales</t>
  </si>
  <si>
    <t>Radicación necesidad: Memorando 3-2015-25996 del 14-12-2015.
Elaboración de estudio previo.</t>
  </si>
  <si>
    <t>Radicación necesidad: Memorando 3-2016-03974 del 17-02-2016.
En elaboración de estudio previo</t>
  </si>
  <si>
    <t>Radicación necesidad: Memorando del 02-03-2016.
Adición 1 y Prórroga 1 al contrato 118 del 2015, con  MARÍA CATALINA SÁENZ HIGUERA</t>
  </si>
  <si>
    <t>Radicación necesidad: Memorando del 08-02-2016.
Contrato 9 del 18-02-2016, con CÉSAR GERMÁN ESPINOSA MONTAÑA</t>
  </si>
  <si>
    <t>Radicación necesidad: Memorando del 08-02-2016.</t>
  </si>
  <si>
    <t>Radicación necesidad: Memorando del 08-02-2016.
Contrato 7 del 17-02-2016 con NASLY JANETH CASTRO CAMARGO</t>
  </si>
  <si>
    <t>Radicación necesidad: Memorando del 08-02-2016.
Contrato 10 del 18-02-2016 con LUZ HELENA BUITRAGO FRANCO</t>
  </si>
  <si>
    <t>Radicación necesidad: Memorando del 08-02-2016.
Contrato 17 del 29-02-2016 con GINNA MARCELA BONILLA</t>
  </si>
  <si>
    <t xml:space="preserve">Radicación necesidad: Memorando del 08-02-2016.
</t>
  </si>
  <si>
    <t>Radicación necesidad: Memorando del 08-02-2016.
Contrato 20 del 10-03-2016 CON HEDDER ALEJANDRO VALLEJO</t>
  </si>
  <si>
    <t>Radicación necesidad: Memorando del 08-02-2016.
Contrato 6 del 17-02-2016 con ERIKA VIVIANA GARZÓN ZAMORA</t>
  </si>
  <si>
    <t>Radicación necesidad: Memorando 3-2015-25467 del 04-12-2015
Devuelto para ajustes con memorando 3-2016-00473 del 13-01-2016
Reenviado Memorando   3-2016-04715 del 25-02-2016.
Elaboración de estudio previo.</t>
  </si>
  <si>
    <t>Radicación necesidad: Memorando 3-2014604140 del 18-02-2016.
En elaboración de estudio previo.</t>
  </si>
  <si>
    <t>El 30 de Marzo de 2016 se suscribió la prórroga No. 1  al Contrato 95 de 2015 con SOCIEDAD HOTELERA TEQUENDAMA S.A., por 5 meses y fecha de terminación  30 de agosto de 2016.  (Nota:  Para esta meta existen recursos de reserva presupuestal vigencia 2015, por valor de $19.654.946).
La contratación de la vigencia 2016 se encuentra en témino para iniciar el nuevo proceso, con el fin de contratar la  prestación del servicio para el apoyo logístico requerido. Recursos asignados vigencia 2016: $64.000.000.</t>
  </si>
  <si>
    <t>Memorando 3-2016-07465 del 30-03-2016</t>
  </si>
  <si>
    <t>80141902 Reuniones y
Eventos
80161502  Servicio de
Planificación de
Reuniones
90111601  Centros de
Conferencias
90111603 Sala de reuniones o banquetes
90111803 Suites</t>
  </si>
  <si>
    <t>META 4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</si>
  <si>
    <t>META 4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</si>
  <si>
    <t>META 4
Mantenimiento, adecuación y remodelación de las áreas de trabajo para las sedes de la Contraloría de Bogotá D.C.</t>
  </si>
  <si>
    <t>META 4
Suministro e instalación de mobiliario para oficinas y áreas de archivo, para las diferentes dependencias y sedes de la Contraloría de Bogotá, D.C.</t>
  </si>
  <si>
    <t>META 4
Obras  de mitigación para el  manejo de aguas servidas, superficiales y estabilidad geotécnica de la sede vacacional Hotel Club y Centro de Estudios de la Contraloría de Bogotá, ubicada en las fincas Pacande y Yajaira de la Vereda el Espinalito Municipio de Fusagasuga.</t>
  </si>
  <si>
    <t xml:space="preserve">META 4
Interventoría técnica, administrativa, jurídica, financiera y ambiental de la obras de mitigación para el  manejo de aguas servidas, superficiales y estabilidad geotécnica del Centro de Estudios de la Contraloría de Bogotá. </t>
  </si>
  <si>
    <t>EN TÉRMINO PARA RADICAR LA NECESIDAD</t>
  </si>
  <si>
    <t>Contratar la compra de elementos de protección personal para los servidores públicos de la Contraloría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</si>
</sst>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164" formatCode="_ * #,##0.00_ ;_ * \-#,##0.00_ ;_ * &quot;-&quot;??_ ;_ @_ "/>
    <numFmt numFmtId="165" formatCode="#,##0.00\ _€"/>
    <numFmt numFmtId="166" formatCode="#,##0\ _€"/>
    <numFmt numFmtId="167" formatCode="_ * #,##0_ ;_ * \-#,##0_ ;_ * &quot;-&quot;??_ ;_ @_ "/>
    <numFmt numFmtId="168" formatCode="dd/mm/yyyy;@"/>
    <numFmt numFmtId="169" formatCode="0_)"/>
    <numFmt numFmtId="170" formatCode="0_ ;\-0\ "/>
    <numFmt numFmtId="171" formatCode="#,##0_ ;\-#,##0\ "/>
    <numFmt numFmtId="172" formatCode="yyyy\-mm\-dd;@"/>
    <numFmt numFmtId="173" formatCode="#,##0;[Red]#,##0"/>
    <numFmt numFmtId="174" formatCode="#,##0.0;[Red]#,##0.0"/>
    <numFmt numFmtId="175" formatCode="d/mm/yyyy;@"/>
  </numFmts>
  <fonts count="5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sz val="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sz val="12"/>
      <name val="Arial"/>
      <family val="2"/>
    </font>
    <font>
      <b/>
      <i/>
      <sz val="12"/>
      <name val="Arial"/>
      <family val="2"/>
    </font>
    <font>
      <b/>
      <i/>
      <sz val="11"/>
      <name val="Arial"/>
      <family val="2"/>
    </font>
    <font>
      <i/>
      <sz val="12"/>
      <name val="Arial"/>
      <family val="2"/>
    </font>
    <font>
      <sz val="12"/>
      <color rgb="FFFF0000"/>
      <name val="Arial"/>
      <family val="2"/>
    </font>
    <font>
      <b/>
      <i/>
      <sz val="9"/>
      <name val="Arial"/>
      <family val="2"/>
    </font>
    <font>
      <b/>
      <sz val="20"/>
      <name val="Arial"/>
      <family val="2"/>
    </font>
    <font>
      <sz val="11"/>
      <name val="Calibri"/>
      <family val="2"/>
    </font>
    <font>
      <b/>
      <sz val="11"/>
      <name val="Calibri"/>
      <family val="2"/>
    </font>
    <font>
      <sz val="10"/>
      <color rgb="FF000000"/>
      <name val="Arial"/>
      <family val="2"/>
    </font>
    <font>
      <b/>
      <sz val="10"/>
      <color theme="1"/>
      <name val="Arial"/>
      <family val="2"/>
    </font>
    <font>
      <b/>
      <sz val="11"/>
      <color theme="1"/>
      <name val="Arial"/>
      <family val="2"/>
    </font>
    <font>
      <b/>
      <sz val="8"/>
      <color theme="1"/>
      <name val="Arial"/>
      <family val="2"/>
    </font>
    <font>
      <sz val="9"/>
      <color theme="1"/>
      <name val="Arial"/>
      <family val="2"/>
    </font>
    <font>
      <sz val="9"/>
      <name val="Arial"/>
      <family val="2"/>
    </font>
    <font>
      <b/>
      <sz val="9"/>
      <color theme="1"/>
      <name val="Arial"/>
      <family val="2"/>
    </font>
    <font>
      <sz val="8"/>
      <color theme="1"/>
      <name val="Arial"/>
      <family val="2"/>
    </font>
    <font>
      <b/>
      <sz val="8"/>
      <color rgb="FF000000"/>
      <name val="Arial"/>
      <family val="2"/>
    </font>
    <font>
      <b/>
      <sz val="9"/>
      <color rgb="FF000000"/>
      <name val="Arial"/>
      <family val="2"/>
    </font>
    <font>
      <sz val="11"/>
      <color theme="1"/>
      <name val="Arial"/>
      <family val="2"/>
    </font>
    <font>
      <sz val="10"/>
      <color theme="1"/>
      <name val="Arial"/>
      <family val="2"/>
    </font>
    <font>
      <sz val="11"/>
      <color rgb="FF000000"/>
      <name val="Arial"/>
      <family val="2"/>
    </font>
    <font>
      <u/>
      <sz val="10"/>
      <color theme="10"/>
      <name val="Arial"/>
      <family val="2"/>
    </font>
    <font>
      <b/>
      <sz val="8"/>
      <name val="Arial"/>
      <family val="2"/>
    </font>
    <font>
      <sz val="1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5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7C80"/>
        <bgColor indexed="64"/>
      </patternFill>
    </fill>
    <fill>
      <patternFill patternType="solid">
        <fgColor rgb="FFFABF8F"/>
        <bgColor indexed="64"/>
      </patternFill>
    </fill>
    <fill>
      <patternFill patternType="solid">
        <fgColor rgb="FFFFFFFF"/>
        <bgColor indexed="64"/>
      </patternFill>
    </fill>
    <fill>
      <patternFill patternType="solid">
        <fgColor rgb="FFFCD5B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4"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9" fontId="49" fillId="0" borderId="0" applyFont="0" applyFill="0" applyBorder="0" applyAlignment="0" applyProtection="0"/>
  </cellStyleXfs>
  <cellXfs count="606">
    <xf numFmtId="0" fontId="0" fillId="0" borderId="0" xfId="0"/>
    <xf numFmtId="0" fontId="2" fillId="0" borderId="0" xfId="34"/>
    <xf numFmtId="0" fontId="0" fillId="0" borderId="0" xfId="0" applyAlignment="1">
      <alignment horizontal="justify" vertical="center" wrapText="1"/>
    </xf>
    <xf numFmtId="0" fontId="2" fillId="23" borderId="0" xfId="34" applyFill="1" applyAlignment="1">
      <alignment vertical="center"/>
    </xf>
    <xf numFmtId="0" fontId="0" fillId="23" borderId="0" xfId="0" applyFill="1" applyAlignment="1">
      <alignment vertical="center"/>
    </xf>
    <xf numFmtId="14" fontId="1" fillId="23" borderId="7" xfId="0" applyNumberFormat="1" applyFont="1" applyFill="1" applyBorder="1" applyAlignment="1">
      <alignment horizontal="right" vertical="top"/>
    </xf>
    <xf numFmtId="166" fontId="1" fillId="23" borderId="7" xfId="0" applyNumberFormat="1" applyFont="1" applyFill="1" applyBorder="1" applyAlignment="1">
      <alignment horizontal="center" vertical="top"/>
    </xf>
    <xf numFmtId="1" fontId="1" fillId="23" borderId="7" xfId="38" applyNumberFormat="1" applyFont="1" applyFill="1" applyBorder="1" applyAlignment="1" applyProtection="1">
      <alignment horizontal="justify" vertical="top" wrapText="1"/>
    </xf>
    <xf numFmtId="0" fontId="21" fillId="23" borderId="7" xfId="0" applyFont="1" applyFill="1" applyBorder="1" applyAlignment="1">
      <alignment horizontal="left" vertical="top" wrapText="1"/>
    </xf>
    <xf numFmtId="0" fontId="1" fillId="23" borderId="7" xfId="0" applyFont="1" applyFill="1" applyBorder="1" applyAlignment="1">
      <alignment horizontal="justify" vertical="top" wrapText="1"/>
    </xf>
    <xf numFmtId="0" fontId="1" fillId="23" borderId="7" xfId="34" applyFont="1" applyFill="1" applyBorder="1" applyAlignment="1">
      <alignment horizontal="justify" vertical="top" wrapText="1"/>
    </xf>
    <xf numFmtId="0" fontId="1" fillId="23" borderId="16" xfId="34" applyFont="1" applyFill="1" applyBorder="1" applyAlignment="1">
      <alignment horizontal="justify" vertical="top" wrapText="1"/>
    </xf>
    <xf numFmtId="49" fontId="19" fillId="22" borderId="7" xfId="34" applyNumberFormat="1" applyFont="1" applyFill="1" applyBorder="1" applyAlignment="1">
      <alignment horizontal="center" vertical="center" wrapText="1"/>
    </xf>
    <xf numFmtId="0" fontId="0" fillId="0" borderId="0" xfId="0" applyAlignment="1">
      <alignment horizontal="center"/>
    </xf>
    <xf numFmtId="0" fontId="1" fillId="23" borderId="16" xfId="34" applyFont="1" applyFill="1" applyBorder="1" applyAlignment="1">
      <alignment vertical="top" wrapText="1"/>
    </xf>
    <xf numFmtId="0" fontId="1" fillId="23" borderId="7" xfId="34" applyFont="1" applyFill="1" applyBorder="1" applyAlignment="1">
      <alignment horizontal="left" vertical="top" wrapText="1"/>
    </xf>
    <xf numFmtId="14" fontId="1" fillId="23" borderId="7" xfId="0" applyNumberFormat="1" applyFont="1" applyFill="1" applyBorder="1" applyAlignment="1">
      <alignment horizontal="left" vertical="top" wrapText="1"/>
    </xf>
    <xf numFmtId="49" fontId="1" fillId="23" borderId="7" xfId="33" applyNumberFormat="1" applyFont="1" applyFill="1" applyBorder="1" applyAlignment="1">
      <alignment horizontal="justify" vertical="top"/>
    </xf>
    <xf numFmtId="0" fontId="1" fillId="23" borderId="7" xfId="0" applyFont="1" applyFill="1" applyBorder="1" applyAlignment="1">
      <alignment horizontal="center" vertical="top"/>
    </xf>
    <xf numFmtId="0" fontId="20" fillId="23" borderId="0" xfId="0" applyFont="1" applyFill="1"/>
    <xf numFmtId="0" fontId="15" fillId="23" borderId="7" xfId="34" applyFont="1" applyFill="1" applyBorder="1" applyAlignment="1">
      <alignment horizontal="justify" vertical="top"/>
    </xf>
    <xf numFmtId="166" fontId="1" fillId="23" borderId="7" xfId="34" applyNumberFormat="1" applyFont="1" applyFill="1" applyBorder="1" applyAlignment="1">
      <alignment vertical="top" wrapText="1"/>
    </xf>
    <xf numFmtId="1" fontId="1" fillId="23" borderId="7" xfId="0" applyNumberFormat="1" applyFont="1" applyFill="1" applyBorder="1" applyAlignment="1">
      <alignment horizontal="center" vertical="top" wrapText="1"/>
    </xf>
    <xf numFmtId="49" fontId="1" fillId="23" borderId="7" xfId="34" applyNumberFormat="1" applyFont="1" applyFill="1" applyBorder="1" applyAlignment="1">
      <alignment horizontal="center" vertical="top" wrapText="1"/>
    </xf>
    <xf numFmtId="49" fontId="1" fillId="23" borderId="7" xfId="34" applyNumberFormat="1" applyFont="1" applyFill="1" applyBorder="1" applyAlignment="1">
      <alignment horizontal="justify" vertical="top" wrapText="1"/>
    </xf>
    <xf numFmtId="49" fontId="1" fillId="23" borderId="7" xfId="34" applyNumberFormat="1" applyFont="1" applyFill="1" applyBorder="1" applyAlignment="1">
      <alignment horizontal="left" vertical="top" wrapText="1"/>
    </xf>
    <xf numFmtId="0" fontId="1" fillId="23" borderId="7" xfId="0" applyNumberFormat="1" applyFont="1" applyFill="1" applyBorder="1" applyAlignment="1" applyProtection="1">
      <alignment horizontal="justify" vertical="top" wrapText="1"/>
    </xf>
    <xf numFmtId="167" fontId="1" fillId="23" borderId="7" xfId="30" applyNumberFormat="1" applyFont="1" applyFill="1" applyBorder="1" applyAlignment="1">
      <alignment horizontal="right" vertical="top"/>
    </xf>
    <xf numFmtId="14" fontId="1" fillId="23" borderId="7" xfId="0" applyNumberFormat="1" applyFont="1" applyFill="1" applyBorder="1" applyAlignment="1">
      <alignment horizontal="right" vertical="top" wrapText="1"/>
    </xf>
    <xf numFmtId="0" fontId="15" fillId="23" borderId="7" xfId="34" applyFont="1" applyFill="1" applyBorder="1" applyAlignment="1">
      <alignment horizontal="center" vertical="top"/>
    </xf>
    <xf numFmtId="169" fontId="1" fillId="23" borderId="7" xfId="33" applyNumberFormat="1" applyFont="1" applyFill="1" applyBorder="1" applyAlignment="1" applyProtection="1">
      <alignment horizontal="center" vertical="top"/>
    </xf>
    <xf numFmtId="0" fontId="0" fillId="0" borderId="21" xfId="0" applyBorder="1"/>
    <xf numFmtId="0" fontId="0" fillId="0" borderId="12" xfId="0" applyBorder="1"/>
    <xf numFmtId="0" fontId="0" fillId="0" borderId="22" xfId="0" applyBorder="1"/>
    <xf numFmtId="0" fontId="1" fillId="0" borderId="0" xfId="0" applyFont="1"/>
    <xf numFmtId="0" fontId="0" fillId="0" borderId="23" xfId="0" applyBorder="1"/>
    <xf numFmtId="0" fontId="0" fillId="0" borderId="0" xfId="0" applyBorder="1"/>
    <xf numFmtId="0" fontId="17" fillId="24" borderId="10" xfId="34" applyNumberFormat="1" applyFont="1" applyFill="1" applyBorder="1" applyAlignment="1">
      <alignment horizontal="center" vertical="top" wrapText="1"/>
    </xf>
    <xf numFmtId="0" fontId="17" fillId="24" borderId="27" xfId="34" applyNumberFormat="1" applyFont="1" applyFill="1" applyBorder="1" applyAlignment="1">
      <alignment horizontal="center" vertical="top" wrapText="1"/>
    </xf>
    <xf numFmtId="0" fontId="0" fillId="24" borderId="0" xfId="0" applyFill="1" applyAlignment="1">
      <alignment vertical="top"/>
    </xf>
    <xf numFmtId="169" fontId="26" fillId="22" borderId="28" xfId="33" applyNumberFormat="1" applyFont="1" applyFill="1" applyBorder="1" applyAlignment="1" applyProtection="1">
      <alignment horizontal="justify" vertical="top"/>
    </xf>
    <xf numFmtId="0" fontId="27" fillId="22" borderId="28" xfId="33" applyFont="1" applyFill="1" applyBorder="1" applyAlignment="1" applyProtection="1">
      <alignment horizontal="left" vertical="top" wrapText="1"/>
    </xf>
    <xf numFmtId="0" fontId="25" fillId="0" borderId="0" xfId="0" applyFont="1" applyAlignment="1">
      <alignment vertical="top"/>
    </xf>
    <xf numFmtId="3" fontId="25" fillId="0" borderId="0" xfId="0" applyNumberFormat="1" applyFont="1" applyAlignment="1">
      <alignment vertical="top"/>
    </xf>
    <xf numFmtId="169" fontId="25" fillId="23" borderId="9" xfId="33" applyNumberFormat="1" applyFont="1" applyFill="1" applyBorder="1" applyAlignment="1" applyProtection="1">
      <alignment horizontal="left" vertical="top"/>
    </xf>
    <xf numFmtId="0" fontId="25" fillId="23" borderId="31" xfId="33" applyFont="1" applyFill="1" applyBorder="1" applyAlignment="1" applyProtection="1">
      <alignment vertical="top" wrapText="1"/>
    </xf>
    <xf numFmtId="3" fontId="25" fillId="23" borderId="32" xfId="0" applyNumberFormat="1" applyFont="1" applyFill="1" applyBorder="1" applyAlignment="1" applyProtection="1">
      <alignment horizontal="right" vertical="top" wrapText="1"/>
    </xf>
    <xf numFmtId="3" fontId="25" fillId="23" borderId="9" xfId="0" applyNumberFormat="1" applyFont="1" applyFill="1" applyBorder="1" applyAlignment="1" applyProtection="1">
      <alignment horizontal="right" vertical="top" wrapText="1"/>
    </xf>
    <xf numFmtId="0" fontId="25" fillId="23" borderId="0" xfId="0" applyFont="1" applyFill="1" applyAlignment="1">
      <alignment vertical="top"/>
    </xf>
    <xf numFmtId="3" fontId="25" fillId="23" borderId="0" xfId="0" applyNumberFormat="1" applyFont="1" applyFill="1" applyAlignment="1">
      <alignment vertical="top"/>
    </xf>
    <xf numFmtId="169" fontId="25" fillId="23" borderId="31" xfId="33" applyNumberFormat="1" applyFont="1" applyFill="1" applyBorder="1" applyAlignment="1" applyProtection="1">
      <alignment horizontal="left" vertical="top"/>
    </xf>
    <xf numFmtId="0" fontId="25" fillId="23" borderId="9" xfId="33" applyFont="1" applyFill="1" applyBorder="1" applyAlignment="1" applyProtection="1">
      <alignment vertical="top" wrapText="1"/>
    </xf>
    <xf numFmtId="0" fontId="26" fillId="22" borderId="28" xfId="33" applyFont="1" applyFill="1" applyBorder="1" applyAlignment="1" applyProtection="1">
      <alignment horizontal="left" vertical="top" wrapText="1"/>
    </xf>
    <xf numFmtId="3" fontId="18" fillId="22" borderId="29" xfId="0" applyNumberFormat="1" applyFont="1" applyFill="1" applyBorder="1" applyAlignment="1" applyProtection="1">
      <alignment horizontal="right" vertical="top"/>
    </xf>
    <xf numFmtId="0" fontId="18" fillId="22" borderId="35" xfId="33" applyFont="1" applyFill="1" applyBorder="1" applyAlignment="1" applyProtection="1">
      <alignment horizontal="left" vertical="top" wrapText="1"/>
    </xf>
    <xf numFmtId="3" fontId="18" fillId="22" borderId="30" xfId="0" applyNumberFormat="1" applyFont="1" applyFill="1" applyBorder="1" applyAlignment="1" applyProtection="1">
      <alignment horizontal="right" vertical="top"/>
    </xf>
    <xf numFmtId="3" fontId="18" fillId="22" borderId="28" xfId="0" applyNumberFormat="1" applyFont="1" applyFill="1" applyBorder="1" applyAlignment="1" applyProtection="1">
      <alignment horizontal="right" vertical="top"/>
    </xf>
    <xf numFmtId="3" fontId="25" fillId="23" borderId="25" xfId="0" applyNumberFormat="1" applyFont="1" applyFill="1" applyBorder="1" applyAlignment="1" applyProtection="1">
      <alignment horizontal="right" vertical="top"/>
    </xf>
    <xf numFmtId="3" fontId="25" fillId="23" borderId="32" xfId="0" applyNumberFormat="1" applyFont="1" applyFill="1" applyBorder="1" applyAlignment="1" applyProtection="1">
      <alignment horizontal="right" vertical="top"/>
    </xf>
    <xf numFmtId="3" fontId="25" fillId="23" borderId="31" xfId="0" applyNumberFormat="1" applyFont="1" applyFill="1" applyBorder="1" applyAlignment="1" applyProtection="1">
      <alignment horizontal="right" vertical="top"/>
    </xf>
    <xf numFmtId="3" fontId="25" fillId="23" borderId="17" xfId="0" applyNumberFormat="1" applyFont="1" applyFill="1" applyBorder="1" applyAlignment="1" applyProtection="1">
      <alignment horizontal="right" vertical="top"/>
    </xf>
    <xf numFmtId="3" fontId="25" fillId="23" borderId="18" xfId="0" applyNumberFormat="1" applyFont="1" applyFill="1" applyBorder="1" applyAlignment="1" applyProtection="1">
      <alignment horizontal="right" vertical="top"/>
    </xf>
    <xf numFmtId="3" fontId="25" fillId="23" borderId="9" xfId="0" applyNumberFormat="1" applyFont="1" applyFill="1" applyBorder="1" applyAlignment="1" applyProtection="1">
      <alignment horizontal="right" vertical="top"/>
    </xf>
    <xf numFmtId="169" fontId="25" fillId="23" borderId="19" xfId="33" applyNumberFormat="1" applyFont="1" applyFill="1" applyBorder="1" applyAlignment="1" applyProtection="1">
      <alignment horizontal="left" vertical="top"/>
    </xf>
    <xf numFmtId="0" fontId="25" fillId="23" borderId="19" xfId="33" applyFont="1" applyFill="1" applyBorder="1" applyAlignment="1" applyProtection="1">
      <alignment vertical="top" wrapText="1"/>
    </xf>
    <xf numFmtId="3" fontId="25" fillId="23" borderId="37" xfId="0" applyNumberFormat="1" applyFont="1" applyFill="1" applyBorder="1" applyAlignment="1" applyProtection="1">
      <alignment horizontal="right" vertical="top"/>
    </xf>
    <xf numFmtId="3" fontId="25" fillId="23" borderId="38" xfId="0" applyNumberFormat="1" applyFont="1" applyFill="1" applyBorder="1" applyAlignment="1" applyProtection="1">
      <alignment horizontal="right" vertical="top"/>
    </xf>
    <xf numFmtId="3" fontId="25" fillId="23" borderId="19" xfId="0" applyNumberFormat="1" applyFont="1" applyFill="1" applyBorder="1" applyAlignment="1" applyProtection="1">
      <alignment horizontal="right" vertical="top"/>
    </xf>
    <xf numFmtId="0" fontId="25" fillId="23" borderId="31" xfId="33" applyFont="1" applyFill="1" applyBorder="1" applyAlignment="1" applyProtection="1">
      <alignment horizontal="left" vertical="top" wrapText="1"/>
    </xf>
    <xf numFmtId="0" fontId="25" fillId="23" borderId="9" xfId="33" applyFont="1" applyFill="1" applyBorder="1" applyAlignment="1" applyProtection="1">
      <alignment horizontal="left" vertical="top" wrapText="1"/>
    </xf>
    <xf numFmtId="0" fontId="25" fillId="23" borderId="19" xfId="33" applyFont="1" applyFill="1" applyBorder="1" applyAlignment="1" applyProtection="1">
      <alignment horizontal="left" vertical="top" wrapText="1"/>
    </xf>
    <xf numFmtId="169" fontId="18" fillId="22" borderId="9" xfId="33" applyNumberFormat="1" applyFont="1" applyFill="1" applyBorder="1" applyAlignment="1" applyProtection="1">
      <alignment horizontal="justify" vertical="top"/>
    </xf>
    <xf numFmtId="0" fontId="18" fillId="22" borderId="9" xfId="33" applyFont="1" applyFill="1" applyBorder="1" applyAlignment="1" applyProtection="1">
      <alignment horizontal="left" vertical="top" wrapText="1"/>
    </xf>
    <xf numFmtId="3" fontId="18" fillId="22" borderId="37" xfId="0" applyNumberFormat="1" applyFont="1" applyFill="1" applyBorder="1" applyAlignment="1" applyProtection="1">
      <alignment horizontal="right" vertical="top"/>
    </xf>
    <xf numFmtId="3" fontId="18" fillId="22" borderId="9" xfId="0" applyNumberFormat="1" applyFont="1" applyFill="1" applyBorder="1" applyAlignment="1" applyProtection="1">
      <alignment horizontal="right" vertical="top"/>
    </xf>
    <xf numFmtId="3" fontId="18" fillId="22" borderId="19" xfId="0" applyNumberFormat="1" applyFont="1" applyFill="1" applyBorder="1" applyAlignment="1" applyProtection="1">
      <alignment horizontal="right" vertical="top"/>
    </xf>
    <xf numFmtId="3" fontId="18" fillId="22" borderId="17" xfId="0" applyNumberFormat="1" applyFont="1" applyFill="1" applyBorder="1" applyAlignment="1" applyProtection="1">
      <alignment horizontal="right" vertical="top"/>
    </xf>
    <xf numFmtId="3" fontId="18" fillId="22" borderId="40" xfId="0" applyNumberFormat="1" applyFont="1" applyFill="1" applyBorder="1" applyAlignment="1" applyProtection="1">
      <alignment horizontal="right" vertical="top"/>
    </xf>
    <xf numFmtId="169" fontId="18" fillId="22" borderId="28" xfId="33" applyNumberFormat="1" applyFont="1" applyFill="1" applyBorder="1" applyAlignment="1" applyProtection="1">
      <alignment horizontal="justify" vertical="top"/>
    </xf>
    <xf numFmtId="0" fontId="18" fillId="22" borderId="28" xfId="33" applyFont="1" applyFill="1" applyBorder="1" applyAlignment="1" applyProtection="1">
      <alignment vertical="top" wrapText="1"/>
    </xf>
    <xf numFmtId="169" fontId="25" fillId="23" borderId="31" xfId="0" applyNumberFormat="1" applyFont="1" applyFill="1" applyBorder="1" applyAlignment="1" applyProtection="1">
      <alignment horizontal="left" vertical="top"/>
    </xf>
    <xf numFmtId="0" fontId="25" fillId="23" borderId="31" xfId="0" applyFont="1" applyFill="1" applyBorder="1" applyAlignment="1" applyProtection="1">
      <alignment vertical="top" wrapText="1"/>
    </xf>
    <xf numFmtId="169" fontId="26" fillId="22" borderId="35" xfId="33" applyNumberFormat="1" applyFont="1" applyFill="1" applyBorder="1" applyAlignment="1" applyProtection="1">
      <alignment horizontal="justify" vertical="top"/>
    </xf>
    <xf numFmtId="0" fontId="26" fillId="22" borderId="35" xfId="33" applyFont="1" applyFill="1" applyBorder="1" applyAlignment="1" applyProtection="1">
      <alignment horizontal="left" vertical="top" wrapText="1"/>
    </xf>
    <xf numFmtId="3" fontId="18" fillId="22" borderId="42" xfId="33" applyNumberFormat="1" applyFont="1" applyFill="1" applyBorder="1" applyAlignment="1" applyProtection="1">
      <alignment horizontal="right" vertical="top"/>
    </xf>
    <xf numFmtId="3" fontId="18" fillId="22" borderId="29" xfId="33" applyNumberFormat="1" applyFont="1" applyFill="1" applyBorder="1" applyAlignment="1" applyProtection="1">
      <alignment horizontal="right" vertical="top"/>
    </xf>
    <xf numFmtId="3" fontId="18" fillId="22" borderId="30" xfId="33" applyNumberFormat="1" applyFont="1" applyFill="1" applyBorder="1" applyAlignment="1" applyProtection="1">
      <alignment horizontal="right" vertical="top"/>
    </xf>
    <xf numFmtId="3" fontId="18" fillId="22" borderId="28" xfId="33" applyNumberFormat="1" applyFont="1" applyFill="1" applyBorder="1" applyAlignment="1" applyProtection="1">
      <alignment horizontal="right" vertical="top"/>
    </xf>
    <xf numFmtId="169" fontId="28" fillId="23" borderId="9" xfId="33" applyNumberFormat="1" applyFont="1" applyFill="1" applyBorder="1" applyAlignment="1" applyProtection="1">
      <alignment horizontal="left" vertical="top" wrapText="1"/>
    </xf>
    <xf numFmtId="169" fontId="28" fillId="23" borderId="19" xfId="33" applyNumberFormat="1" applyFont="1" applyFill="1" applyBorder="1" applyAlignment="1" applyProtection="1">
      <alignment horizontal="left" vertical="top" wrapText="1"/>
    </xf>
    <xf numFmtId="0" fontId="25" fillId="23" borderId="19" xfId="33" applyFont="1" applyFill="1" applyBorder="1" applyAlignment="1" applyProtection="1">
      <alignment horizontal="justify" vertical="top" wrapText="1"/>
    </xf>
    <xf numFmtId="3" fontId="18" fillId="26" borderId="43" xfId="0" applyNumberFormat="1" applyFont="1" applyFill="1" applyBorder="1" applyAlignment="1">
      <alignment horizontal="right" vertical="top"/>
    </xf>
    <xf numFmtId="0" fontId="0" fillId="0" borderId="11" xfId="0" applyBorder="1"/>
    <xf numFmtId="3" fontId="1" fillId="0" borderId="12" xfId="0" applyNumberFormat="1" applyFont="1" applyBorder="1"/>
    <xf numFmtId="3" fontId="0" fillId="0" borderId="12" xfId="0" applyNumberFormat="1" applyBorder="1"/>
    <xf numFmtId="0" fontId="0" fillId="0" borderId="13" xfId="0" applyBorder="1"/>
    <xf numFmtId="0" fontId="30" fillId="0" borderId="0" xfId="33" applyFont="1" applyFill="1" applyBorder="1" applyAlignment="1">
      <alignment horizontal="left"/>
    </xf>
    <xf numFmtId="3" fontId="1" fillId="0" borderId="7" xfId="33" applyNumberFormat="1" applyFont="1" applyFill="1" applyBorder="1" applyAlignment="1">
      <alignment horizontal="justify"/>
    </xf>
    <xf numFmtId="3" fontId="1" fillId="0" borderId="7" xfId="33" applyNumberFormat="1" applyFont="1" applyFill="1" applyBorder="1" applyAlignment="1">
      <alignment vertical="center"/>
    </xf>
    <xf numFmtId="3" fontId="1" fillId="0" borderId="0" xfId="33" applyNumberFormat="1" applyFont="1" applyFill="1" applyBorder="1" applyAlignment="1"/>
    <xf numFmtId="4" fontId="1" fillId="0" borderId="0" xfId="33" applyNumberFormat="1" applyFont="1" applyFill="1" applyBorder="1" applyAlignment="1"/>
    <xf numFmtId="3" fontId="1" fillId="0" borderId="26" xfId="33" applyNumberFormat="1" applyFont="1" applyFill="1" applyBorder="1" applyAlignment="1"/>
    <xf numFmtId="4" fontId="0" fillId="0" borderId="0" xfId="0" applyNumberFormat="1"/>
    <xf numFmtId="3" fontId="1" fillId="0" borderId="7" xfId="33" applyNumberFormat="1" applyFont="1" applyFill="1" applyBorder="1" applyAlignment="1"/>
    <xf numFmtId="0" fontId="16" fillId="0" borderId="14" xfId="33" applyFont="1" applyFill="1" applyBorder="1" applyAlignment="1">
      <alignment horizontal="left"/>
    </xf>
    <xf numFmtId="0" fontId="30" fillId="0" borderId="15" xfId="33" applyFont="1" applyFill="1" applyBorder="1" applyAlignment="1">
      <alignment horizontal="left"/>
    </xf>
    <xf numFmtId="3" fontId="1" fillId="0" borderId="44" xfId="33" applyNumberFormat="1" applyFont="1" applyFill="1" applyBorder="1" applyAlignment="1"/>
    <xf numFmtId="3" fontId="1" fillId="0" borderId="15" xfId="33" applyNumberFormat="1" applyFont="1" applyFill="1" applyBorder="1" applyAlignment="1"/>
    <xf numFmtId="3" fontId="1" fillId="0" borderId="42" xfId="33" applyNumberFormat="1" applyFont="1" applyFill="1" applyBorder="1" applyAlignment="1"/>
    <xf numFmtId="167" fontId="0" fillId="0" borderId="0" xfId="30" applyNumberFormat="1" applyFont="1"/>
    <xf numFmtId="0" fontId="1" fillId="0" borderId="11" xfId="0" applyFont="1" applyBorder="1"/>
    <xf numFmtId="0" fontId="1" fillId="0" borderId="12" xfId="0" applyFont="1" applyBorder="1"/>
    <xf numFmtId="0" fontId="1" fillId="0" borderId="12" xfId="0" applyFont="1" applyFill="1" applyBorder="1"/>
    <xf numFmtId="3" fontId="0" fillId="0" borderId="0" xfId="0" applyNumberFormat="1" applyBorder="1"/>
    <xf numFmtId="0" fontId="0" fillId="0" borderId="26" xfId="0" applyBorder="1"/>
    <xf numFmtId="3" fontId="1" fillId="0" borderId="13" xfId="0" applyNumberFormat="1" applyFont="1" applyBorder="1"/>
    <xf numFmtId="0" fontId="0" fillId="0" borderId="14" xfId="0" applyBorder="1" applyAlignment="1">
      <alignment horizontal="left" wrapText="1"/>
    </xf>
    <xf numFmtId="0" fontId="0" fillId="0" borderId="15" xfId="0" applyBorder="1" applyAlignment="1">
      <alignment horizontal="left" wrapText="1"/>
    </xf>
    <xf numFmtId="3" fontId="0" fillId="0" borderId="15" xfId="0" applyNumberFormat="1" applyBorder="1" applyAlignment="1">
      <alignment horizontal="left" wrapText="1"/>
    </xf>
    <xf numFmtId="167" fontId="25" fillId="23" borderId="32" xfId="30" applyNumberFormat="1" applyFont="1" applyFill="1" applyBorder="1" applyAlignment="1" applyProtection="1">
      <alignment horizontal="right" vertical="top"/>
    </xf>
    <xf numFmtId="3" fontId="25" fillId="23" borderId="25" xfId="0" applyNumberFormat="1" applyFont="1" applyFill="1" applyBorder="1" applyAlignment="1" applyProtection="1">
      <alignment vertical="top"/>
    </xf>
    <xf numFmtId="3" fontId="25" fillId="23" borderId="17" xfId="0" applyNumberFormat="1" applyFont="1" applyFill="1" applyBorder="1" applyAlignment="1" applyProtection="1">
      <alignment vertical="top"/>
    </xf>
    <xf numFmtId="3" fontId="25" fillId="23" borderId="37" xfId="0" applyNumberFormat="1" applyFont="1" applyFill="1" applyBorder="1" applyAlignment="1" applyProtection="1">
      <alignment vertical="top"/>
    </xf>
    <xf numFmtId="3" fontId="25" fillId="23" borderId="42" xfId="0" applyNumberFormat="1" applyFont="1" applyFill="1" applyBorder="1" applyAlignment="1" applyProtection="1">
      <alignment vertical="top"/>
    </xf>
    <xf numFmtId="49" fontId="1" fillId="23" borderId="16" xfId="34" applyNumberFormat="1" applyFont="1" applyFill="1" applyBorder="1" applyAlignment="1">
      <alignment horizontal="justify" vertical="top" wrapText="1"/>
    </xf>
    <xf numFmtId="49" fontId="1" fillId="23" borderId="20" xfId="34" applyNumberFormat="1" applyFont="1" applyFill="1" applyBorder="1" applyAlignment="1">
      <alignment horizontal="left" vertical="top" wrapText="1"/>
    </xf>
    <xf numFmtId="169" fontId="1" fillId="23" borderId="7" xfId="33" applyNumberFormat="1" applyFont="1" applyFill="1" applyBorder="1" applyAlignment="1" applyProtection="1">
      <alignment horizontal="left" vertical="top"/>
    </xf>
    <xf numFmtId="0" fontId="1" fillId="23" borderId="7" xfId="39" applyFont="1" applyFill="1" applyBorder="1" applyAlignment="1">
      <alignment vertical="top" wrapText="1"/>
    </xf>
    <xf numFmtId="3" fontId="25" fillId="23" borderId="25" xfId="0" applyNumberFormat="1" applyFont="1" applyFill="1" applyBorder="1" applyAlignment="1" applyProtection="1">
      <alignment vertical="top" wrapText="1"/>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2" xfId="0" applyBorder="1"/>
    <xf numFmtId="0" fontId="0" fillId="0" borderId="15" xfId="0" applyBorder="1"/>
    <xf numFmtId="165" fontId="0" fillId="0" borderId="0" xfId="0" applyNumberFormat="1" applyAlignment="1">
      <alignment horizontal="right"/>
    </xf>
    <xf numFmtId="0" fontId="0" fillId="0" borderId="0" xfId="0" applyAlignment="1">
      <alignment horizontal="right"/>
    </xf>
    <xf numFmtId="0" fontId="2" fillId="23" borderId="7" xfId="34" applyFill="1" applyBorder="1" applyAlignment="1">
      <alignment vertical="center"/>
    </xf>
    <xf numFmtId="0" fontId="20" fillId="23" borderId="7" xfId="0" applyFont="1" applyFill="1" applyBorder="1"/>
    <xf numFmtId="0" fontId="0" fillId="27" borderId="0" xfId="0" applyFill="1" applyAlignment="1">
      <alignment horizontal="center"/>
    </xf>
    <xf numFmtId="0" fontId="0" fillId="27" borderId="0" xfId="0" applyFill="1" applyAlignment="1">
      <alignment horizontal="justify"/>
    </xf>
    <xf numFmtId="165" fontId="0" fillId="27" borderId="0" xfId="0" applyNumberFormat="1" applyFill="1" applyAlignment="1">
      <alignment horizontal="right"/>
    </xf>
    <xf numFmtId="0" fontId="0" fillId="23" borderId="0" xfId="0" applyFill="1" applyAlignment="1">
      <alignment horizontal="center"/>
    </xf>
    <xf numFmtId="0" fontId="0" fillId="23" borderId="0" xfId="0" applyFill="1" applyAlignment="1">
      <alignment horizontal="justify"/>
    </xf>
    <xf numFmtId="0" fontId="0" fillId="23" borderId="0" xfId="0" applyFill="1" applyAlignment="1">
      <alignment horizontal="justify" vertical="center" wrapText="1"/>
    </xf>
    <xf numFmtId="0" fontId="2" fillId="0" borderId="0" xfId="34" applyAlignment="1">
      <alignment horizontal="justify" vertical="center"/>
    </xf>
    <xf numFmtId="0" fontId="35" fillId="34" borderId="45" xfId="0" applyFont="1" applyFill="1" applyBorder="1" applyAlignment="1">
      <alignment horizontal="left"/>
    </xf>
    <xf numFmtId="0" fontId="36" fillId="34" borderId="0" xfId="0" applyFont="1" applyFill="1" applyBorder="1" applyAlignment="1">
      <alignment horizontal="left"/>
    </xf>
    <xf numFmtId="0" fontId="37" fillId="35" borderId="7" xfId="0" applyFont="1" applyFill="1" applyBorder="1" applyAlignment="1">
      <alignment horizontal="center" vertical="center" wrapText="1"/>
    </xf>
    <xf numFmtId="167" fontId="39" fillId="23" borderId="7" xfId="30" applyNumberFormat="1" applyFont="1" applyFill="1" applyBorder="1" applyAlignment="1">
      <alignment vertical="top"/>
    </xf>
    <xf numFmtId="170" fontId="39" fillId="0" borderId="7" xfId="0" applyNumberFormat="1" applyFont="1" applyBorder="1" applyAlignment="1">
      <alignment horizontal="center" vertical="top"/>
    </xf>
    <xf numFmtId="171" fontId="39" fillId="0" borderId="7" xfId="38" applyNumberFormat="1" applyFont="1" applyBorder="1" applyAlignment="1">
      <alignment horizontal="center" vertical="top"/>
    </xf>
    <xf numFmtId="167" fontId="39" fillId="23" borderId="7" xfId="40" applyNumberFormat="1" applyFont="1" applyFill="1" applyBorder="1" applyAlignment="1">
      <alignment horizontal="right" vertical="top"/>
    </xf>
    <xf numFmtId="171" fontId="39" fillId="23" borderId="7" xfId="38" applyNumberFormat="1" applyFont="1" applyFill="1" applyBorder="1" applyAlignment="1">
      <alignment horizontal="center" vertical="top" wrapText="1"/>
    </xf>
    <xf numFmtId="167" fontId="39" fillId="23" borderId="7" xfId="40" applyNumberFormat="1" applyFont="1" applyFill="1" applyBorder="1" applyAlignment="1">
      <alignment vertical="top"/>
    </xf>
    <xf numFmtId="0" fontId="40" fillId="37" borderId="7" xfId="0" applyFont="1" applyFill="1" applyBorder="1" applyAlignment="1">
      <alignment horizontal="center" vertical="center" wrapText="1"/>
    </xf>
    <xf numFmtId="3" fontId="40" fillId="37" borderId="7" xfId="0" applyNumberFormat="1" applyFont="1" applyFill="1" applyBorder="1" applyAlignment="1">
      <alignment horizontal="right" vertical="center" wrapText="1"/>
    </xf>
    <xf numFmtId="3" fontId="17" fillId="37" borderId="7" xfId="0" applyNumberFormat="1" applyFont="1" applyFill="1" applyBorder="1" applyAlignment="1">
      <alignment horizontal="right" vertical="center" wrapText="1"/>
    </xf>
    <xf numFmtId="4" fontId="17" fillId="37" borderId="7" xfId="0" applyNumberFormat="1" applyFont="1" applyFill="1" applyBorder="1" applyAlignment="1">
      <alignment horizontal="center" vertical="center" wrapText="1"/>
    </xf>
    <xf numFmtId="3" fontId="17" fillId="37" borderId="7" xfId="0" applyNumberFormat="1" applyFont="1" applyFill="1" applyBorder="1" applyAlignment="1">
      <alignment horizontal="center" vertical="center" wrapText="1"/>
    </xf>
    <xf numFmtId="10" fontId="17" fillId="37" borderId="7" xfId="41" applyNumberFormat="1" applyFont="1" applyFill="1" applyBorder="1" applyAlignment="1">
      <alignment horizontal="center" vertical="center" wrapText="1"/>
    </xf>
    <xf numFmtId="167" fontId="39" fillId="23" borderId="7" xfId="38" applyNumberFormat="1" applyFont="1" applyFill="1" applyBorder="1" applyAlignment="1">
      <alignment horizontal="right" vertical="top"/>
    </xf>
    <xf numFmtId="0" fontId="16" fillId="0" borderId="0" xfId="0" applyFont="1"/>
    <xf numFmtId="170" fontId="39" fillId="23" borderId="7" xfId="0" applyNumberFormat="1" applyFont="1" applyFill="1" applyBorder="1" applyAlignment="1">
      <alignment horizontal="center" vertical="top"/>
    </xf>
    <xf numFmtId="167" fontId="39" fillId="23" borderId="7" xfId="38" applyNumberFormat="1" applyFont="1" applyFill="1" applyBorder="1" applyAlignment="1">
      <alignment vertical="top"/>
    </xf>
    <xf numFmtId="0" fontId="40" fillId="35" borderId="7" xfId="0" applyFont="1" applyFill="1" applyBorder="1" applyAlignment="1">
      <alignment horizontal="center" vertical="center" wrapText="1"/>
    </xf>
    <xf numFmtId="0" fontId="37" fillId="35" borderId="7" xfId="0" applyFont="1" applyFill="1" applyBorder="1" applyAlignment="1">
      <alignment horizontal="center" vertical="top" wrapText="1"/>
    </xf>
    <xf numFmtId="167" fontId="39" fillId="0" borderId="7" xfId="30" applyNumberFormat="1" applyFont="1" applyBorder="1" applyAlignment="1">
      <alignment horizontal="right" vertical="top"/>
    </xf>
    <xf numFmtId="167" fontId="39" fillId="23" borderId="7" xfId="30" applyNumberFormat="1" applyFont="1" applyFill="1" applyBorder="1" applyAlignment="1" applyProtection="1">
      <alignment horizontal="right" vertical="top" wrapText="1"/>
    </xf>
    <xf numFmtId="0" fontId="37" fillId="37" borderId="7" xfId="0" applyFont="1" applyFill="1" applyBorder="1" applyAlignment="1">
      <alignment horizontal="center" vertical="center" wrapText="1"/>
    </xf>
    <xf numFmtId="0" fontId="42" fillId="34" borderId="7" xfId="0" applyFont="1" applyFill="1" applyBorder="1" applyAlignment="1">
      <alignment horizontal="justify" vertical="center" wrapText="1"/>
    </xf>
    <xf numFmtId="0" fontId="43" fillId="34" borderId="7" xfId="0" applyFont="1" applyFill="1" applyBorder="1" applyAlignment="1">
      <alignment horizontal="justify" vertical="center" wrapText="1"/>
    </xf>
    <xf numFmtId="3" fontId="17" fillId="34" borderId="7" xfId="0" applyNumberFormat="1" applyFont="1" applyFill="1" applyBorder="1" applyAlignment="1">
      <alignment horizontal="right" vertical="center" wrapText="1"/>
    </xf>
    <xf numFmtId="4" fontId="17" fillId="34" borderId="7" xfId="0" applyNumberFormat="1" applyFont="1" applyFill="1" applyBorder="1" applyAlignment="1">
      <alignment horizontal="center" vertical="center" wrapText="1"/>
    </xf>
    <xf numFmtId="3" fontId="17" fillId="34" borderId="7" xfId="0" applyNumberFormat="1" applyFont="1" applyFill="1" applyBorder="1" applyAlignment="1">
      <alignment horizontal="center" vertical="center" wrapText="1"/>
    </xf>
    <xf numFmtId="0" fontId="36" fillId="28" borderId="16" xfId="0" applyFont="1" applyFill="1" applyBorder="1" applyAlignment="1"/>
    <xf numFmtId="0" fontId="38" fillId="28" borderId="40" xfId="0" applyFont="1" applyFill="1" applyBorder="1" applyAlignment="1"/>
    <xf numFmtId="0" fontId="38" fillId="28" borderId="40" xfId="0" applyFont="1" applyFill="1" applyBorder="1" applyAlignment="1">
      <alignment vertical="center"/>
    </xf>
    <xf numFmtId="3" fontId="39" fillId="28" borderId="40" xfId="0" applyNumberFormat="1" applyFont="1" applyFill="1" applyBorder="1"/>
    <xf numFmtId="0" fontId="39" fillId="28" borderId="40" xfId="0" applyFont="1" applyFill="1" applyBorder="1"/>
    <xf numFmtId="0" fontId="39" fillId="28" borderId="20" xfId="0" applyFont="1" applyFill="1" applyBorder="1"/>
    <xf numFmtId="0" fontId="16" fillId="36" borderId="7" xfId="0" applyFont="1" applyFill="1" applyBorder="1" applyAlignment="1">
      <alignment horizontal="justify" vertical="center" wrapText="1"/>
    </xf>
    <xf numFmtId="0" fontId="16" fillId="36" borderId="47" xfId="0" applyFont="1" applyFill="1" applyBorder="1" applyAlignment="1">
      <alignment vertical="center" wrapText="1"/>
    </xf>
    <xf numFmtId="0" fontId="16" fillId="36" borderId="7" xfId="0" applyFont="1" applyFill="1" applyBorder="1" applyAlignment="1">
      <alignment horizontal="justify" vertical="top" wrapText="1"/>
    </xf>
    <xf numFmtId="3" fontId="39" fillId="36" borderId="7" xfId="0" applyNumberFormat="1" applyFont="1" applyFill="1" applyBorder="1" applyAlignment="1">
      <alignment horizontal="right" vertical="top" wrapText="1"/>
    </xf>
    <xf numFmtId="3" fontId="38" fillId="36" borderId="7" xfId="0" applyNumberFormat="1" applyFont="1" applyFill="1" applyBorder="1" applyAlignment="1">
      <alignment horizontal="center" vertical="top" wrapText="1"/>
    </xf>
    <xf numFmtId="3" fontId="40" fillId="34" borderId="7" xfId="0" applyNumberFormat="1" applyFont="1" applyFill="1" applyBorder="1" applyAlignment="1">
      <alignment horizontal="right" vertical="center" wrapText="1"/>
    </xf>
    <xf numFmtId="9" fontId="40" fillId="34" borderId="7" xfId="41" applyFont="1" applyFill="1" applyBorder="1" applyAlignment="1">
      <alignment horizontal="center" vertical="center" wrapText="1"/>
    </xf>
    <xf numFmtId="0" fontId="43" fillId="32" borderId="7" xfId="0" applyFont="1" applyFill="1" applyBorder="1" applyAlignment="1">
      <alignment horizontal="justify" vertical="center" wrapText="1"/>
    </xf>
    <xf numFmtId="3" fontId="40" fillId="32" borderId="7" xfId="0" applyNumberFormat="1" applyFont="1" applyFill="1" applyBorder="1" applyAlignment="1">
      <alignment horizontal="right" vertical="center" wrapText="1"/>
    </xf>
    <xf numFmtId="4" fontId="17" fillId="32" borderId="7" xfId="0" applyNumberFormat="1" applyFont="1" applyFill="1" applyBorder="1" applyAlignment="1">
      <alignment horizontal="center" vertical="center" wrapText="1"/>
    </xf>
    <xf numFmtId="0" fontId="44" fillId="0" borderId="0" xfId="0" applyFont="1"/>
    <xf numFmtId="164" fontId="0" fillId="0" borderId="0" xfId="0" applyNumberFormat="1"/>
    <xf numFmtId="0" fontId="1" fillId="23" borderId="7" xfId="0" applyFont="1" applyFill="1" applyBorder="1" applyAlignment="1">
      <alignment horizontal="right" vertical="top"/>
    </xf>
    <xf numFmtId="0" fontId="0" fillId="23" borderId="7" xfId="0" applyFill="1" applyBorder="1" applyAlignment="1">
      <alignment vertical="top" wrapText="1"/>
    </xf>
    <xf numFmtId="172" fontId="1" fillId="23" borderId="7" xfId="0" applyNumberFormat="1" applyFont="1" applyFill="1" applyBorder="1" applyAlignment="1" applyProtection="1">
      <alignment horizontal="center" vertical="top" wrapText="1"/>
    </xf>
    <xf numFmtId="14" fontId="1" fillId="23" borderId="7" xfId="0" applyNumberFormat="1" applyFont="1" applyFill="1" applyBorder="1" applyAlignment="1">
      <alignment horizontal="center" vertical="top" wrapText="1"/>
    </xf>
    <xf numFmtId="172" fontId="1" fillId="23" borderId="7" xfId="0" applyNumberFormat="1" applyFont="1" applyFill="1" applyBorder="1" applyAlignment="1">
      <alignment horizontal="center" vertical="top" wrapText="1"/>
    </xf>
    <xf numFmtId="0" fontId="1" fillId="23" borderId="0" xfId="0" applyFont="1" applyFill="1" applyAlignment="1">
      <alignment vertical="top" wrapText="1"/>
    </xf>
    <xf numFmtId="172" fontId="1" fillId="23" borderId="7" xfId="0" applyNumberFormat="1" applyFont="1" applyFill="1" applyBorder="1" applyAlignment="1" applyProtection="1">
      <alignment horizontal="right" vertical="top" wrapText="1"/>
    </xf>
    <xf numFmtId="1" fontId="45" fillId="23" borderId="7" xfId="0" applyNumberFormat="1" applyFont="1" applyFill="1" applyBorder="1" applyAlignment="1">
      <alignment horizontal="center" vertical="top" wrapText="1"/>
    </xf>
    <xf numFmtId="0" fontId="1" fillId="23" borderId="7" xfId="0" applyFont="1" applyFill="1" applyBorder="1" applyAlignment="1">
      <alignment horizontal="left" vertical="top" wrapText="1"/>
    </xf>
    <xf numFmtId="0" fontId="15" fillId="23" borderId="7" xfId="34" applyFont="1" applyFill="1" applyBorder="1" applyAlignment="1">
      <alignment horizontal="left" vertical="top" wrapText="1"/>
    </xf>
    <xf numFmtId="0" fontId="1" fillId="23" borderId="7" xfId="34" applyFont="1" applyFill="1" applyBorder="1" applyAlignment="1">
      <alignment horizontal="center" vertical="top"/>
    </xf>
    <xf numFmtId="0" fontId="15" fillId="23" borderId="16" xfId="34" applyFont="1" applyFill="1" applyBorder="1" applyAlignment="1">
      <alignment horizontal="center" vertical="top" wrapText="1"/>
    </xf>
    <xf numFmtId="166" fontId="1" fillId="23" borderId="7" xfId="34" applyNumberFormat="1" applyFont="1" applyFill="1" applyBorder="1" applyAlignment="1">
      <alignment horizontal="right" vertical="top" wrapText="1"/>
    </xf>
    <xf numFmtId="0" fontId="15" fillId="23" borderId="7" xfId="34" applyFont="1" applyFill="1" applyBorder="1" applyAlignment="1">
      <alignment vertical="top" wrapText="1"/>
    </xf>
    <xf numFmtId="0" fontId="15" fillId="23" borderId="16" xfId="34" applyFont="1" applyFill="1" applyBorder="1" applyAlignment="1">
      <alignment horizontal="justify" vertical="top" wrapText="1"/>
    </xf>
    <xf numFmtId="0" fontId="2" fillId="23" borderId="7" xfId="34" applyFill="1" applyBorder="1" applyAlignment="1">
      <alignment horizontal="justify" vertical="top"/>
    </xf>
    <xf numFmtId="0" fontId="15" fillId="23" borderId="7" xfId="34" applyFont="1" applyFill="1" applyBorder="1" applyAlignment="1">
      <alignment horizontal="justify" vertical="top" wrapText="1"/>
    </xf>
    <xf numFmtId="0" fontId="15" fillId="23" borderId="7" xfId="34" applyFont="1" applyFill="1" applyBorder="1" applyAlignment="1">
      <alignment horizontal="center" vertical="top" wrapText="1"/>
    </xf>
    <xf numFmtId="167" fontId="1" fillId="23" borderId="7" xfId="30" applyNumberFormat="1" applyFont="1" applyFill="1" applyBorder="1" applyAlignment="1">
      <alignment horizontal="right" vertical="top" wrapText="1"/>
    </xf>
    <xf numFmtId="0" fontId="1" fillId="23" borderId="7" xfId="34" applyFont="1" applyFill="1" applyBorder="1" applyAlignment="1">
      <alignment vertical="top" wrapText="1"/>
    </xf>
    <xf numFmtId="49" fontId="1" fillId="23" borderId="7" xfId="33" applyNumberFormat="1" applyFont="1" applyFill="1" applyBorder="1" applyAlignment="1">
      <alignment horizontal="justify" vertical="top" wrapText="1"/>
    </xf>
    <xf numFmtId="49" fontId="1" fillId="23" borderId="7" xfId="33" applyNumberFormat="1" applyFont="1" applyFill="1" applyBorder="1" applyAlignment="1">
      <alignment horizontal="center" vertical="top" wrapText="1"/>
    </xf>
    <xf numFmtId="0" fontId="1" fillId="23" borderId="7" xfId="0" applyFont="1" applyFill="1" applyBorder="1" applyAlignment="1">
      <alignment horizontal="center" vertical="top" wrapText="1"/>
    </xf>
    <xf numFmtId="3" fontId="1" fillId="23" borderId="7" xfId="0" applyNumberFormat="1" applyFont="1" applyFill="1" applyBorder="1" applyAlignment="1">
      <alignment horizontal="right" vertical="top"/>
    </xf>
    <xf numFmtId="0" fontId="1" fillId="23" borderId="16" xfId="0" applyFont="1" applyFill="1" applyBorder="1" applyAlignment="1" applyProtection="1">
      <alignment horizontal="justify" vertical="top"/>
      <protection locked="0"/>
    </xf>
    <xf numFmtId="166" fontId="1" fillId="23" borderId="7" xfId="0" applyNumberFormat="1" applyFont="1" applyFill="1" applyBorder="1" applyAlignment="1">
      <alignment horizontal="center" vertical="top" wrapText="1"/>
    </xf>
    <xf numFmtId="5" fontId="1" fillId="23" borderId="7" xfId="30" applyNumberFormat="1" applyFont="1" applyFill="1" applyBorder="1" applyAlignment="1">
      <alignment horizontal="justify" vertical="top" wrapText="1"/>
    </xf>
    <xf numFmtId="14" fontId="1" fillId="23" borderId="16" xfId="0" applyNumberFormat="1" applyFont="1" applyFill="1" applyBorder="1" applyAlignment="1">
      <alignment horizontal="justify" vertical="top" wrapText="1"/>
    </xf>
    <xf numFmtId="14" fontId="1" fillId="23" borderId="7" xfId="34" applyNumberFormat="1" applyFont="1" applyFill="1" applyBorder="1" applyAlignment="1">
      <alignment vertical="top" wrapText="1"/>
    </xf>
    <xf numFmtId="0" fontId="1" fillId="23" borderId="7" xfId="0" applyFont="1" applyFill="1" applyBorder="1" applyAlignment="1">
      <alignment horizontal="justify" vertical="top"/>
    </xf>
    <xf numFmtId="0" fontId="1" fillId="23" borderId="7" xfId="0" applyFont="1" applyFill="1" applyBorder="1" applyAlignment="1">
      <alignment vertical="top"/>
    </xf>
    <xf numFmtId="167" fontId="1" fillId="23" borderId="7" xfId="30" applyNumberFormat="1" applyFont="1" applyFill="1" applyBorder="1" applyAlignment="1">
      <alignment vertical="top"/>
    </xf>
    <xf numFmtId="14" fontId="0" fillId="23" borderId="7" xfId="0" applyNumberFormat="1" applyFill="1" applyBorder="1" applyAlignment="1">
      <alignment vertical="top"/>
    </xf>
    <xf numFmtId="0" fontId="1" fillId="23" borderId="7" xfId="0" applyFont="1" applyFill="1" applyBorder="1" applyAlignment="1">
      <alignment vertical="top" wrapText="1"/>
    </xf>
    <xf numFmtId="166" fontId="1" fillId="23" borderId="7" xfId="34" applyNumberFormat="1" applyFont="1" applyFill="1" applyBorder="1" applyAlignment="1">
      <alignment horizontal="center" vertical="top" wrapText="1"/>
    </xf>
    <xf numFmtId="0" fontId="1" fillId="23" borderId="7" xfId="34" applyFont="1" applyFill="1" applyBorder="1" applyAlignment="1">
      <alignment horizontal="center" vertical="top" wrapText="1"/>
    </xf>
    <xf numFmtId="167" fontId="1" fillId="23" borderId="7" xfId="30" applyNumberFormat="1" applyFont="1" applyFill="1" applyBorder="1" applyAlignment="1">
      <alignment horizontal="right" vertical="center" wrapText="1"/>
    </xf>
    <xf numFmtId="14" fontId="1" fillId="23" borderId="20" xfId="0" applyNumberFormat="1" applyFont="1" applyFill="1" applyBorder="1" applyAlignment="1">
      <alignment horizontal="left" vertical="center" wrapText="1"/>
    </xf>
    <xf numFmtId="0" fontId="1" fillId="23" borderId="16" xfId="0" applyFont="1" applyFill="1" applyBorder="1" applyAlignment="1">
      <alignment horizontal="justify" vertical="top" wrapText="1"/>
    </xf>
    <xf numFmtId="0" fontId="1" fillId="23" borderId="7" xfId="0" applyFont="1" applyFill="1" applyBorder="1"/>
    <xf numFmtId="0" fontId="1" fillId="23" borderId="0" xfId="0" applyFont="1" applyFill="1"/>
    <xf numFmtId="0" fontId="1" fillId="23" borderId="7" xfId="0" applyNumberFormat="1" applyFont="1" applyFill="1" applyBorder="1" applyAlignment="1">
      <alignment horizontal="center" vertical="top"/>
    </xf>
    <xf numFmtId="3" fontId="1" fillId="23" borderId="7" xfId="34" applyNumberFormat="1" applyFont="1" applyFill="1" applyBorder="1" applyAlignment="1">
      <alignment horizontal="justify" vertical="top" wrapText="1"/>
    </xf>
    <xf numFmtId="3" fontId="1" fillId="23" borderId="16" xfId="34" applyNumberFormat="1" applyFont="1" applyFill="1" applyBorder="1" applyAlignment="1">
      <alignment horizontal="justify" vertical="top" wrapText="1"/>
    </xf>
    <xf numFmtId="0" fontId="2" fillId="23" borderId="7" xfId="34" applyFont="1" applyFill="1" applyBorder="1" applyAlignment="1">
      <alignment vertical="top"/>
    </xf>
    <xf numFmtId="0" fontId="2" fillId="23" borderId="0" xfId="34" applyFont="1" applyFill="1" applyAlignment="1">
      <alignment vertical="top"/>
    </xf>
    <xf numFmtId="0" fontId="1" fillId="23" borderId="0" xfId="0" applyFont="1" applyFill="1" applyAlignment="1">
      <alignment vertical="top"/>
    </xf>
    <xf numFmtId="0" fontId="1" fillId="23" borderId="7" xfId="0" applyNumberFormat="1" applyFont="1" applyFill="1" applyBorder="1" applyAlignment="1">
      <alignment horizontal="center" vertical="top" wrapText="1"/>
    </xf>
    <xf numFmtId="165" fontId="1" fillId="23" borderId="16" xfId="34" applyNumberFormat="1" applyFont="1" applyFill="1" applyBorder="1" applyAlignment="1">
      <alignment horizontal="justify" vertical="top" wrapText="1"/>
    </xf>
    <xf numFmtId="0" fontId="2" fillId="23" borderId="7" xfId="34" applyFont="1" applyFill="1" applyBorder="1" applyAlignment="1">
      <alignment horizontal="justify" vertical="top"/>
    </xf>
    <xf numFmtId="171" fontId="39" fillId="23" borderId="7" xfId="38" applyNumberFormat="1" applyFont="1" applyFill="1" applyBorder="1" applyAlignment="1">
      <alignment horizontal="center" vertical="top"/>
    </xf>
    <xf numFmtId="5" fontId="1" fillId="23" borderId="7" xfId="30" applyNumberFormat="1" applyFont="1" applyFill="1" applyBorder="1" applyAlignment="1">
      <alignment horizontal="left" vertical="top" wrapText="1"/>
    </xf>
    <xf numFmtId="168" fontId="1" fillId="23" borderId="7" xfId="0" applyNumberFormat="1" applyFont="1" applyFill="1" applyBorder="1" applyAlignment="1">
      <alignment horizontal="right" vertical="top" wrapText="1"/>
    </xf>
    <xf numFmtId="9" fontId="17" fillId="37" borderId="7" xfId="41" applyNumberFormat="1" applyFont="1" applyFill="1" applyBorder="1" applyAlignment="1">
      <alignment horizontal="center" vertical="center" wrapText="1"/>
    </xf>
    <xf numFmtId="49" fontId="1" fillId="23" borderId="7" xfId="34" applyNumberFormat="1" applyFont="1" applyFill="1" applyBorder="1" applyAlignment="1">
      <alignment horizontal="right" vertical="top" wrapText="1"/>
    </xf>
    <xf numFmtId="0" fontId="1" fillId="23" borderId="7" xfId="34" applyFont="1" applyFill="1" applyBorder="1" applyAlignment="1">
      <alignment horizontal="right" vertical="top" wrapText="1"/>
    </xf>
    <xf numFmtId="0" fontId="0" fillId="23" borderId="7" xfId="0" applyFill="1" applyBorder="1" applyAlignment="1">
      <alignment horizontal="center" vertical="top"/>
    </xf>
    <xf numFmtId="166" fontId="0" fillId="23" borderId="7" xfId="0" applyNumberFormat="1" applyFill="1" applyBorder="1" applyAlignment="1">
      <alignment vertical="top"/>
    </xf>
    <xf numFmtId="0" fontId="0" fillId="23" borderId="7" xfId="0" applyNumberFormat="1" applyFill="1" applyBorder="1" applyAlignment="1">
      <alignment horizontal="center" vertical="top"/>
    </xf>
    <xf numFmtId="0" fontId="1" fillId="23" borderId="7" xfId="0" applyNumberFormat="1" applyFont="1" applyFill="1" applyBorder="1" applyAlignment="1">
      <alignment vertical="top" wrapText="1"/>
    </xf>
    <xf numFmtId="0" fontId="0" fillId="23" borderId="7" xfId="0" applyFill="1" applyBorder="1" applyAlignment="1">
      <alignment vertical="top"/>
    </xf>
    <xf numFmtId="0" fontId="1" fillId="23" borderId="7" xfId="0" applyFont="1" applyFill="1" applyBorder="1" applyAlignment="1">
      <alignment horizontal="right" vertical="top" wrapText="1"/>
    </xf>
    <xf numFmtId="167" fontId="1" fillId="23" borderId="7" xfId="38" applyNumberFormat="1" applyFont="1" applyFill="1" applyBorder="1" applyAlignment="1" applyProtection="1">
      <alignment horizontal="center" vertical="top" wrapText="1"/>
    </xf>
    <xf numFmtId="0" fontId="15" fillId="23" borderId="16" xfId="34" applyFont="1" applyFill="1" applyBorder="1" applyAlignment="1">
      <alignment horizontal="center" vertical="center"/>
    </xf>
    <xf numFmtId="0" fontId="2" fillId="23" borderId="7" xfId="34" applyFill="1" applyBorder="1" applyAlignment="1">
      <alignment vertical="top"/>
    </xf>
    <xf numFmtId="14" fontId="1" fillId="23" borderId="7" xfId="0" applyNumberFormat="1" applyFont="1" applyFill="1" applyBorder="1" applyAlignment="1">
      <alignment vertical="top"/>
    </xf>
    <xf numFmtId="0" fontId="32" fillId="23" borderId="7" xfId="34" applyFont="1" applyFill="1" applyBorder="1" applyAlignment="1">
      <alignment vertical="center"/>
    </xf>
    <xf numFmtId="0" fontId="32" fillId="23" borderId="0" xfId="34" applyFont="1" applyFill="1" applyAlignment="1">
      <alignment vertical="center"/>
    </xf>
    <xf numFmtId="0" fontId="1" fillId="23" borderId="0" xfId="0" applyFont="1" applyFill="1" applyAlignment="1">
      <alignment vertical="center"/>
    </xf>
    <xf numFmtId="0" fontId="1" fillId="23" borderId="20" xfId="0" applyFont="1" applyFill="1" applyBorder="1" applyAlignment="1">
      <alignment horizontal="center" vertical="top" wrapText="1"/>
    </xf>
    <xf numFmtId="0" fontId="15" fillId="23" borderId="20" xfId="34" applyFont="1" applyFill="1" applyBorder="1" applyAlignment="1">
      <alignment horizontal="left" vertical="top" wrapText="1"/>
    </xf>
    <xf numFmtId="0" fontId="15" fillId="23" borderId="7" xfId="0" applyFont="1" applyFill="1" applyBorder="1" applyAlignment="1">
      <alignment horizontal="left" vertical="top" wrapText="1"/>
    </xf>
    <xf numFmtId="169" fontId="1" fillId="23" borderId="7" xfId="33" applyNumberFormat="1" applyFont="1" applyFill="1" applyBorder="1" applyAlignment="1" applyProtection="1">
      <alignment horizontal="right" vertical="top"/>
    </xf>
    <xf numFmtId="0" fontId="2" fillId="23" borderId="0" xfId="34" applyFill="1" applyAlignment="1">
      <alignment horizontal="justify" vertical="center"/>
    </xf>
    <xf numFmtId="0" fontId="1" fillId="23" borderId="20" xfId="34" applyFont="1" applyFill="1" applyBorder="1" applyAlignment="1">
      <alignment horizontal="left" vertical="top" wrapText="1"/>
    </xf>
    <xf numFmtId="3" fontId="1" fillId="23" borderId="7" xfId="34" applyNumberFormat="1" applyFont="1" applyFill="1" applyBorder="1" applyAlignment="1">
      <alignment vertical="top" wrapText="1"/>
    </xf>
    <xf numFmtId="0" fontId="24" fillId="23" borderId="7" xfId="34" applyFont="1" applyFill="1" applyBorder="1" applyAlignment="1">
      <alignment vertical="center"/>
    </xf>
    <xf numFmtId="0" fontId="24" fillId="23" borderId="0" xfId="34" applyFont="1" applyFill="1" applyAlignment="1">
      <alignment vertical="center"/>
    </xf>
    <xf numFmtId="0" fontId="20" fillId="23" borderId="0" xfId="0" applyFont="1" applyFill="1" applyAlignment="1">
      <alignment vertical="center"/>
    </xf>
    <xf numFmtId="167" fontId="1" fillId="23" borderId="7" xfId="30" applyNumberFormat="1" applyFont="1" applyFill="1" applyBorder="1" applyAlignment="1">
      <alignment horizontal="justify" vertical="top" wrapText="1"/>
    </xf>
    <xf numFmtId="0" fontId="32" fillId="23" borderId="7" xfId="34" applyFont="1" applyFill="1" applyBorder="1" applyAlignment="1">
      <alignment horizontal="justify" vertical="top"/>
    </xf>
    <xf numFmtId="0" fontId="32" fillId="23" borderId="7" xfId="0" applyFont="1" applyFill="1" applyBorder="1" applyAlignment="1">
      <alignment horizontal="justify" vertical="top"/>
    </xf>
    <xf numFmtId="14" fontId="1" fillId="23" borderId="16" xfId="0" applyNumberFormat="1" applyFont="1" applyFill="1" applyBorder="1" applyAlignment="1">
      <alignment horizontal="left" vertical="top" wrapText="1"/>
    </xf>
    <xf numFmtId="5" fontId="1" fillId="23" borderId="16" xfId="30" applyNumberFormat="1" applyFont="1" applyFill="1" applyBorder="1" applyAlignment="1">
      <alignment horizontal="left" vertical="top" wrapText="1"/>
    </xf>
    <xf numFmtId="0" fontId="34" fillId="23" borderId="7" xfId="0" applyFont="1" applyFill="1" applyBorder="1" applyAlignment="1">
      <alignment horizontal="justify" vertical="top" wrapText="1"/>
    </xf>
    <xf numFmtId="14" fontId="1" fillId="23" borderId="20" xfId="0" applyNumberFormat="1" applyFont="1" applyFill="1" applyBorder="1" applyAlignment="1">
      <alignment horizontal="left" vertical="top" wrapText="1"/>
    </xf>
    <xf numFmtId="0" fontId="1" fillId="0" borderId="0" xfId="0" applyFont="1" applyAlignment="1">
      <alignment vertical="top" wrapText="1"/>
    </xf>
    <xf numFmtId="0" fontId="39" fillId="0" borderId="0" xfId="0" applyFont="1" applyBorder="1" applyAlignment="1">
      <alignment horizontal="center" vertical="center" wrapText="1"/>
    </xf>
    <xf numFmtId="1" fontId="39" fillId="0" borderId="39" xfId="30" applyNumberFormat="1" applyFont="1" applyFill="1" applyBorder="1" applyAlignment="1">
      <alignment horizontal="right" vertical="center" wrapText="1"/>
    </xf>
    <xf numFmtId="1" fontId="39" fillId="0" borderId="50" xfId="30" applyNumberFormat="1" applyFont="1" applyFill="1" applyBorder="1" applyAlignment="1">
      <alignment horizontal="right" vertical="center" wrapText="1"/>
    </xf>
    <xf numFmtId="49" fontId="39" fillId="0" borderId="0" xfId="0" applyNumberFormat="1" applyFont="1" applyBorder="1" applyAlignment="1">
      <alignment horizontal="center" vertical="center" wrapText="1"/>
    </xf>
    <xf numFmtId="14" fontId="39" fillId="0" borderId="0" xfId="0" applyNumberFormat="1" applyFont="1" applyBorder="1" applyAlignment="1">
      <alignment horizontal="center" vertical="center" wrapText="1"/>
    </xf>
    <xf numFmtId="0" fontId="39" fillId="0" borderId="0" xfId="0"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168" fontId="39" fillId="0" borderId="0" xfId="0" applyNumberFormat="1" applyFont="1" applyFill="1" applyBorder="1" applyAlignment="1">
      <alignment horizontal="center" vertical="center" wrapText="1"/>
    </xf>
    <xf numFmtId="0" fontId="39" fillId="39" borderId="0" xfId="0" applyFont="1" applyFill="1" applyBorder="1" applyAlignment="1">
      <alignment horizontal="center" vertical="center" wrapText="1"/>
    </xf>
    <xf numFmtId="167" fontId="39" fillId="39" borderId="0" xfId="30" applyNumberFormat="1" applyFont="1" applyFill="1" applyBorder="1" applyAlignment="1">
      <alignment horizontal="center" vertical="center" wrapText="1"/>
    </xf>
    <xf numFmtId="1" fontId="39" fillId="0" borderId="0" xfId="30" applyNumberFormat="1" applyFont="1" applyFill="1" applyBorder="1" applyAlignment="1">
      <alignment horizontal="right" vertical="center" wrapText="1"/>
    </xf>
    <xf numFmtId="1" fontId="39" fillId="0" borderId="51" xfId="30" applyNumberFormat="1" applyFont="1" applyFill="1" applyBorder="1" applyAlignment="1">
      <alignment horizontal="right" vertical="center" wrapText="1"/>
    </xf>
    <xf numFmtId="0" fontId="17" fillId="40" borderId="47" xfId="0" applyFont="1" applyFill="1" applyBorder="1" applyAlignment="1">
      <alignment horizontal="center" vertical="center" wrapText="1"/>
    </xf>
    <xf numFmtId="14" fontId="17" fillId="40" borderId="47" xfId="0" applyNumberFormat="1" applyFont="1" applyFill="1" applyBorder="1" applyAlignment="1">
      <alignment horizontal="center" vertical="center" wrapText="1"/>
    </xf>
    <xf numFmtId="167" fontId="17" fillId="40" borderId="47" xfId="30" applyNumberFormat="1" applyFont="1" applyFill="1" applyBorder="1" applyAlignment="1">
      <alignment horizontal="center" vertical="center" wrapText="1"/>
    </xf>
    <xf numFmtId="0" fontId="17" fillId="38" borderId="16" xfId="0" applyFont="1" applyFill="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17" fillId="38" borderId="47" xfId="0" applyFont="1" applyFill="1" applyBorder="1" applyAlignment="1" applyProtection="1">
      <alignment horizontal="center" vertical="center" wrapText="1"/>
      <protection locked="0"/>
    </xf>
    <xf numFmtId="1" fontId="17" fillId="46" borderId="47" xfId="30" applyNumberFormat="1" applyFont="1" applyFill="1" applyBorder="1" applyAlignment="1">
      <alignment horizontal="center" vertical="center" wrapText="1"/>
    </xf>
    <xf numFmtId="1" fontId="17" fillId="25" borderId="47" xfId="30" applyNumberFormat="1" applyFont="1" applyFill="1" applyBorder="1" applyAlignment="1">
      <alignment horizontal="center" vertical="center" wrapText="1"/>
    </xf>
    <xf numFmtId="0" fontId="17" fillId="25" borderId="47" xfId="0" applyFont="1" applyFill="1" applyBorder="1" applyAlignment="1">
      <alignment horizontal="center" vertical="center" wrapText="1"/>
    </xf>
    <xf numFmtId="0" fontId="17" fillId="44" borderId="47" xfId="0" applyFont="1" applyFill="1" applyBorder="1" applyAlignment="1">
      <alignment horizontal="center" vertical="center" wrapText="1"/>
    </xf>
    <xf numFmtId="14" fontId="17" fillId="44" borderId="47" xfId="0" applyNumberFormat="1" applyFont="1" applyFill="1" applyBorder="1" applyAlignment="1">
      <alignment horizontal="center" vertical="center" wrapText="1"/>
    </xf>
    <xf numFmtId="49" fontId="17" fillId="40" borderId="47" xfId="0" applyNumberFormat="1" applyFont="1" applyFill="1" applyBorder="1" applyAlignment="1">
      <alignment horizontal="center" vertical="center" wrapText="1"/>
    </xf>
    <xf numFmtId="0" fontId="1" fillId="23" borderId="47" xfId="0" applyNumberFormat="1" applyFont="1" applyFill="1" applyBorder="1" applyAlignment="1" applyProtection="1">
      <alignment horizontal="center" vertical="top" wrapText="1"/>
    </xf>
    <xf numFmtId="0" fontId="1" fillId="23" borderId="7" xfId="0" applyFont="1" applyFill="1" applyBorder="1" applyAlignment="1" applyProtection="1">
      <alignment horizontal="left" vertical="top" wrapText="1"/>
    </xf>
    <xf numFmtId="0" fontId="1" fillId="23" borderId="7" xfId="0" applyNumberFormat="1" applyFont="1" applyFill="1" applyBorder="1" applyAlignment="1" applyProtection="1">
      <alignment horizontal="center" vertical="top" wrapText="1"/>
    </xf>
    <xf numFmtId="0" fontId="1" fillId="23" borderId="47" xfId="0" applyFont="1" applyFill="1" applyBorder="1" applyAlignment="1">
      <alignment horizontal="justify" vertical="top" wrapText="1"/>
    </xf>
    <xf numFmtId="0" fontId="1" fillId="23" borderId="47" xfId="0" applyFont="1" applyFill="1" applyBorder="1" applyAlignment="1" applyProtection="1">
      <alignment horizontal="justify" vertical="top"/>
      <protection locked="0"/>
    </xf>
    <xf numFmtId="0" fontId="0" fillId="23" borderId="7" xfId="0" applyFill="1" applyBorder="1" applyAlignment="1">
      <alignment horizontal="justify" vertical="top"/>
    </xf>
    <xf numFmtId="167" fontId="1" fillId="23" borderId="47" xfId="30" applyNumberFormat="1" applyFont="1" applyFill="1" applyBorder="1" applyAlignment="1" applyProtection="1">
      <alignment horizontal="right" vertical="top" wrapText="1"/>
    </xf>
    <xf numFmtId="1" fontId="1" fillId="23" borderId="47" xfId="30" applyNumberFormat="1" applyFont="1" applyFill="1" applyBorder="1" applyAlignment="1">
      <alignment vertical="top"/>
    </xf>
    <xf numFmtId="1" fontId="1" fillId="23" borderId="47" xfId="30" applyNumberFormat="1" applyFont="1" applyFill="1" applyBorder="1" applyAlignment="1" applyProtection="1">
      <alignment horizontal="center" vertical="top" wrapText="1"/>
    </xf>
    <xf numFmtId="0" fontId="1" fillId="23" borderId="47" xfId="0" applyFont="1" applyFill="1" applyBorder="1" applyAlignment="1">
      <alignment vertical="top" wrapText="1"/>
    </xf>
    <xf numFmtId="0" fontId="1" fillId="23" borderId="47" xfId="0" applyFont="1" applyFill="1" applyBorder="1" applyAlignment="1">
      <alignment horizontal="justify" vertical="top"/>
    </xf>
    <xf numFmtId="0" fontId="1" fillId="23" borderId="47" xfId="0" applyNumberFormat="1" applyFont="1" applyFill="1" applyBorder="1" applyAlignment="1">
      <alignment horizontal="justify" vertical="top" wrapText="1"/>
    </xf>
    <xf numFmtId="0" fontId="1" fillId="23" borderId="47" xfId="0" applyFont="1" applyFill="1" applyBorder="1" applyAlignment="1" applyProtection="1">
      <alignment vertical="top" wrapText="1"/>
      <protection locked="0"/>
    </xf>
    <xf numFmtId="0" fontId="1" fillId="23" borderId="47" xfId="0" applyFont="1" applyFill="1" applyBorder="1" applyAlignment="1" applyProtection="1">
      <alignment horizontal="center" vertical="top" wrapText="1"/>
      <protection locked="0"/>
    </xf>
    <xf numFmtId="1" fontId="1" fillId="23" borderId="47" xfId="30" applyNumberFormat="1" applyFont="1" applyFill="1" applyBorder="1" applyAlignment="1" applyProtection="1">
      <alignment horizontal="justify" vertical="top" wrapText="1"/>
    </xf>
    <xf numFmtId="14" fontId="1" fillId="23" borderId="47" xfId="30" applyNumberFormat="1" applyFont="1" applyFill="1" applyBorder="1" applyAlignment="1" applyProtection="1">
      <alignment horizontal="center" vertical="top" wrapText="1"/>
    </xf>
    <xf numFmtId="167" fontId="1" fillId="23" borderId="47" xfId="30" applyNumberFormat="1" applyFont="1" applyFill="1" applyBorder="1" applyAlignment="1" applyProtection="1">
      <alignment horizontal="center" vertical="top" wrapText="1"/>
    </xf>
    <xf numFmtId="1" fontId="1" fillId="23" borderId="47" xfId="30" applyNumberFormat="1" applyFont="1" applyFill="1" applyBorder="1" applyAlignment="1" applyProtection="1">
      <alignment horizontal="right" vertical="top" wrapText="1"/>
    </xf>
    <xf numFmtId="0" fontId="46" fillId="23" borderId="47" xfId="0" applyFont="1" applyFill="1" applyBorder="1" applyAlignment="1">
      <alignment vertical="top" wrapText="1"/>
    </xf>
    <xf numFmtId="0" fontId="1" fillId="23" borderId="47" xfId="0" applyFont="1" applyFill="1" applyBorder="1" applyAlignment="1">
      <alignment horizontal="center" vertical="top" wrapText="1"/>
    </xf>
    <xf numFmtId="0" fontId="1" fillId="23" borderId="47" xfId="0" applyFont="1" applyFill="1" applyBorder="1" applyAlignment="1">
      <alignment horizontal="left" vertical="top" wrapText="1"/>
    </xf>
    <xf numFmtId="0" fontId="1" fillId="23" borderId="7" xfId="0" applyFont="1" applyFill="1" applyBorder="1" applyAlignment="1" applyProtection="1">
      <alignment vertical="top" wrapText="1"/>
      <protection locked="0"/>
    </xf>
    <xf numFmtId="172" fontId="39" fillId="23" borderId="7" xfId="0" applyNumberFormat="1" applyFont="1" applyFill="1" applyBorder="1" applyAlignment="1" applyProtection="1">
      <alignment horizontal="center" vertical="top" wrapText="1"/>
    </xf>
    <xf numFmtId="3" fontId="1" fillId="23" borderId="7" xfId="0" applyNumberFormat="1" applyFont="1" applyFill="1" applyBorder="1" applyAlignment="1">
      <alignment horizontal="right" vertical="top" wrapText="1"/>
    </xf>
    <xf numFmtId="0" fontId="1" fillId="23" borderId="0" xfId="0" applyFont="1" applyFill="1" applyBorder="1" applyAlignment="1">
      <alignment vertical="top"/>
    </xf>
    <xf numFmtId="167" fontId="1" fillId="23" borderId="7" xfId="30" applyNumberFormat="1" applyFont="1" applyFill="1" applyBorder="1" applyAlignment="1" applyProtection="1">
      <alignment horizontal="right" vertical="top" wrapText="1"/>
    </xf>
    <xf numFmtId="0" fontId="1" fillId="23" borderId="7" xfId="0" applyFont="1" applyFill="1" applyBorder="1" applyAlignment="1" applyProtection="1">
      <alignment horizontal="right" vertical="top"/>
      <protection locked="0"/>
    </xf>
    <xf numFmtId="1" fontId="1" fillId="23" borderId="7" xfId="30" applyNumberFormat="1" applyFont="1" applyFill="1" applyBorder="1" applyAlignment="1" applyProtection="1">
      <alignment horizontal="center" vertical="top" wrapText="1"/>
    </xf>
    <xf numFmtId="0" fontId="1" fillId="23" borderId="7" xfId="0" applyNumberFormat="1" applyFont="1" applyFill="1" applyBorder="1" applyAlignment="1">
      <alignment horizontal="justify" vertical="top" wrapText="1"/>
    </xf>
    <xf numFmtId="0" fontId="1" fillId="23" borderId="7" xfId="0" applyFont="1" applyFill="1" applyBorder="1" applyAlignment="1" applyProtection="1">
      <alignment horizontal="center" vertical="top" wrapText="1"/>
      <protection locked="0"/>
    </xf>
    <xf numFmtId="14" fontId="1" fillId="23" borderId="7" xfId="30" applyNumberFormat="1" applyFont="1" applyFill="1" applyBorder="1" applyAlignment="1" applyProtection="1">
      <alignment horizontal="center" vertical="top" wrapText="1"/>
    </xf>
    <xf numFmtId="167" fontId="1" fillId="23" borderId="7" xfId="30" applyNumberFormat="1" applyFont="1" applyFill="1" applyBorder="1" applyAlignment="1" applyProtection="1">
      <alignment horizontal="center" vertical="top" wrapText="1"/>
    </xf>
    <xf numFmtId="1" fontId="1" fillId="23" borderId="7" xfId="30" applyNumberFormat="1" applyFont="1" applyFill="1" applyBorder="1" applyAlignment="1" applyProtection="1">
      <alignment horizontal="right" vertical="top" wrapText="1"/>
    </xf>
    <xf numFmtId="172" fontId="1" fillId="23" borderId="7" xfId="0" applyNumberFormat="1" applyFont="1" applyFill="1" applyBorder="1" applyAlignment="1" applyProtection="1">
      <alignment horizontal="left" vertical="top" wrapText="1"/>
    </xf>
    <xf numFmtId="0" fontId="20" fillId="23" borderId="0" xfId="0" applyFont="1" applyFill="1" applyBorder="1" applyAlignment="1">
      <alignment vertical="top"/>
    </xf>
    <xf numFmtId="1" fontId="1" fillId="23" borderId="7" xfId="30" applyNumberFormat="1" applyFont="1" applyFill="1" applyBorder="1" applyAlignment="1">
      <alignment vertical="top"/>
    </xf>
    <xf numFmtId="0" fontId="1" fillId="23" borderId="16" xfId="0" applyNumberFormat="1" applyFont="1" applyFill="1" applyBorder="1" applyAlignment="1" applyProtection="1">
      <alignment horizontal="center" vertical="top" wrapText="1"/>
    </xf>
    <xf numFmtId="49" fontId="1" fillId="23" borderId="7" xfId="0" applyNumberFormat="1" applyFont="1" applyFill="1" applyBorder="1" applyAlignment="1">
      <alignment horizontal="right" vertical="top" wrapText="1"/>
    </xf>
    <xf numFmtId="3" fontId="1" fillId="23" borderId="7" xfId="0" applyNumberFormat="1" applyFont="1" applyFill="1" applyBorder="1" applyAlignment="1" applyProtection="1">
      <alignment horizontal="center" vertical="top" wrapText="1"/>
    </xf>
    <xf numFmtId="0" fontId="1" fillId="23" borderId="7" xfId="0" applyNumberFormat="1" applyFont="1" applyFill="1" applyBorder="1" applyAlignment="1">
      <alignment horizontal="right" vertical="top" wrapText="1"/>
    </xf>
    <xf numFmtId="3" fontId="1" fillId="23" borderId="7" xfId="0" applyNumberFormat="1" applyFont="1" applyFill="1" applyBorder="1" applyAlignment="1">
      <alignment horizontal="center" vertical="top"/>
    </xf>
    <xf numFmtId="0" fontId="1" fillId="23" borderId="20" xfId="0" applyFont="1" applyFill="1" applyBorder="1" applyAlignment="1">
      <alignment vertical="top" wrapText="1"/>
    </xf>
    <xf numFmtId="0" fontId="47" fillId="23" borderId="7" xfId="42" applyNumberFormat="1" applyFill="1" applyBorder="1" applyAlignment="1">
      <alignment horizontal="right" vertical="top" wrapText="1"/>
    </xf>
    <xf numFmtId="14" fontId="1" fillId="23" borderId="7" xfId="0" applyNumberFormat="1" applyFont="1" applyFill="1" applyBorder="1" applyAlignment="1">
      <alignment horizontal="center" vertical="top"/>
    </xf>
    <xf numFmtId="0" fontId="39" fillId="0" borderId="0" xfId="0" applyFont="1" applyBorder="1" applyAlignment="1">
      <alignment horizontal="center"/>
    </xf>
    <xf numFmtId="0" fontId="39" fillId="23" borderId="0" xfId="0" applyFont="1" applyFill="1" applyBorder="1" applyAlignment="1">
      <alignment horizontal="center"/>
    </xf>
    <xf numFmtId="0" fontId="39" fillId="0" borderId="0" xfId="0" applyFont="1" applyBorder="1" applyAlignment="1">
      <alignment horizontal="justify"/>
    </xf>
    <xf numFmtId="167" fontId="39" fillId="0" borderId="0" xfId="30" applyNumberFormat="1" applyFont="1" applyBorder="1" applyAlignment="1">
      <alignment horizontal="right"/>
    </xf>
    <xf numFmtId="174" fontId="39" fillId="0" borderId="0" xfId="0" applyNumberFormat="1" applyFont="1" applyBorder="1" applyAlignment="1">
      <alignment horizontal="right"/>
    </xf>
    <xf numFmtId="0" fontId="39" fillId="0" borderId="0" xfId="0" applyFont="1" applyBorder="1"/>
    <xf numFmtId="1" fontId="39" fillId="0" borderId="0" xfId="30" applyNumberFormat="1" applyFont="1" applyBorder="1" applyAlignment="1">
      <alignment horizontal="right"/>
    </xf>
    <xf numFmtId="14" fontId="39" fillId="0" borderId="0" xfId="0" applyNumberFormat="1" applyFont="1" applyBorder="1" applyAlignment="1">
      <alignment horizontal="center"/>
    </xf>
    <xf numFmtId="14" fontId="39" fillId="0" borderId="0" xfId="0" applyNumberFormat="1" applyFont="1" applyBorder="1" applyAlignment="1">
      <alignment horizontal="center" vertical="center"/>
    </xf>
    <xf numFmtId="1" fontId="39" fillId="0" borderId="0" xfId="30" applyNumberFormat="1" applyFont="1" applyBorder="1" applyAlignment="1">
      <alignment horizontal="center"/>
    </xf>
    <xf numFmtId="0" fontId="39" fillId="0" borderId="0" xfId="0" applyFont="1" applyBorder="1" applyAlignment="1">
      <alignment horizontal="right"/>
    </xf>
    <xf numFmtId="14" fontId="39" fillId="0" borderId="0" xfId="0" applyNumberFormat="1" applyFont="1" applyBorder="1" applyAlignment="1">
      <alignment horizontal="right"/>
    </xf>
    <xf numFmtId="49" fontId="39" fillId="0" borderId="0" xfId="0" applyNumberFormat="1" applyFont="1" applyBorder="1" applyAlignment="1">
      <alignment horizontal="center"/>
    </xf>
    <xf numFmtId="14" fontId="39" fillId="23" borderId="0" xfId="0" applyNumberFormat="1" applyFont="1" applyFill="1" applyBorder="1" applyAlignment="1">
      <alignment horizontal="center" vertical="center"/>
    </xf>
    <xf numFmtId="0" fontId="39" fillId="0" borderId="0" xfId="0" applyFont="1" applyFill="1" applyBorder="1" applyAlignment="1">
      <alignment horizontal="center"/>
    </xf>
    <xf numFmtId="1" fontId="39" fillId="0" borderId="0" xfId="0" applyNumberFormat="1" applyFont="1" applyFill="1" applyBorder="1" applyAlignment="1">
      <alignment horizontal="center"/>
    </xf>
    <xf numFmtId="168" fontId="39" fillId="0" borderId="0" xfId="0" applyNumberFormat="1" applyFont="1" applyFill="1" applyBorder="1" applyAlignment="1">
      <alignment horizontal="center" vertical="top"/>
    </xf>
    <xf numFmtId="0" fontId="39" fillId="39" borderId="0" xfId="0" applyFont="1" applyFill="1" applyBorder="1"/>
    <xf numFmtId="167" fontId="39" fillId="39" borderId="0" xfId="30" applyNumberFormat="1" applyFont="1" applyFill="1" applyBorder="1"/>
    <xf numFmtId="0" fontId="25" fillId="0" borderId="0" xfId="0" applyFont="1" applyBorder="1" applyAlignment="1">
      <alignment horizontal="center" vertical="center" wrapText="1"/>
    </xf>
    <xf numFmtId="1" fontId="25" fillId="0" borderId="0" xfId="30" applyNumberFormat="1" applyFont="1" applyFill="1" applyBorder="1" applyAlignment="1">
      <alignment horizontal="center" vertical="center" wrapText="1"/>
    </xf>
    <xf numFmtId="1" fontId="25" fillId="0" borderId="0" xfId="30" applyNumberFormat="1" applyFont="1" applyFill="1" applyBorder="1" applyAlignment="1">
      <alignment horizontal="right" vertical="center" wrapText="1"/>
    </xf>
    <xf numFmtId="0" fontId="1" fillId="32" borderId="7" xfId="0" applyFont="1" applyFill="1" applyBorder="1" applyAlignment="1">
      <alignment horizontal="justify" vertical="top" wrapText="1"/>
    </xf>
    <xf numFmtId="0" fontId="14" fillId="32" borderId="7" xfId="0" applyFont="1" applyFill="1" applyBorder="1" applyAlignment="1">
      <alignment vertical="top" wrapText="1"/>
    </xf>
    <xf numFmtId="167" fontId="14" fillId="32" borderId="7" xfId="30" applyNumberFormat="1" applyFont="1" applyFill="1" applyBorder="1" applyAlignment="1">
      <alignment horizontal="right" vertical="top"/>
    </xf>
    <xf numFmtId="0" fontId="2" fillId="23" borderId="7" xfId="34" applyFill="1" applyBorder="1" applyAlignment="1">
      <alignment horizontal="justify" vertical="top" wrapText="1"/>
    </xf>
    <xf numFmtId="3" fontId="1" fillId="23" borderId="0" xfId="0" applyNumberFormat="1" applyFont="1" applyFill="1" applyAlignment="1">
      <alignment vertical="top"/>
    </xf>
    <xf numFmtId="49" fontId="1" fillId="23" borderId="7" xfId="0" applyNumberFormat="1" applyFont="1" applyFill="1" applyBorder="1" applyAlignment="1">
      <alignment horizontal="center" vertical="top" wrapText="1"/>
    </xf>
    <xf numFmtId="172" fontId="1" fillId="23" borderId="7" xfId="0" applyNumberFormat="1" applyFont="1" applyFill="1" applyBorder="1" applyAlignment="1" applyProtection="1">
      <alignment horizontal="justify" vertical="top" wrapText="1"/>
    </xf>
    <xf numFmtId="3" fontId="1" fillId="23" borderId="7" xfId="34" applyNumberFormat="1" applyFont="1" applyFill="1" applyBorder="1" applyAlignment="1">
      <alignment horizontal="left" vertical="top" wrapText="1"/>
    </xf>
    <xf numFmtId="0" fontId="1" fillId="23" borderId="7" xfId="0" applyFont="1" applyFill="1" applyBorder="1" applyAlignment="1" applyProtection="1">
      <alignment horizontal="justify" vertical="top" wrapText="1"/>
      <protection locked="0"/>
    </xf>
    <xf numFmtId="3" fontId="0" fillId="0" borderId="22" xfId="0" applyNumberFormat="1" applyBorder="1"/>
    <xf numFmtId="171" fontId="39" fillId="0" borderId="7" xfId="38" applyNumberFormat="1" applyFont="1" applyBorder="1" applyAlignment="1">
      <alignment horizontal="right" vertical="top"/>
    </xf>
    <xf numFmtId="166" fontId="0" fillId="23" borderId="7" xfId="0" applyNumberFormat="1" applyFill="1" applyBorder="1" applyAlignment="1">
      <alignment horizontal="right" vertical="top"/>
    </xf>
    <xf numFmtId="0" fontId="39" fillId="0" borderId="7" xfId="34" applyFont="1" applyFill="1" applyBorder="1" applyAlignment="1">
      <alignment horizontal="justify" vertical="top" wrapText="1"/>
    </xf>
    <xf numFmtId="167" fontId="39" fillId="0" borderId="7" xfId="38" applyNumberFormat="1" applyFont="1" applyFill="1" applyBorder="1" applyAlignment="1">
      <alignment horizontal="justify" vertical="top"/>
    </xf>
    <xf numFmtId="0" fontId="39" fillId="0" borderId="7" xfId="0" applyFont="1" applyBorder="1" applyAlignment="1">
      <alignment vertical="top"/>
    </xf>
    <xf numFmtId="0" fontId="1" fillId="23" borderId="7" xfId="34" applyFont="1" applyFill="1" applyBorder="1" applyAlignment="1">
      <alignment horizontal="justify" vertical="top"/>
    </xf>
    <xf numFmtId="167" fontId="20" fillId="23" borderId="7" xfId="0" applyNumberFormat="1" applyFont="1" applyFill="1" applyBorder="1"/>
    <xf numFmtId="3" fontId="25" fillId="23" borderId="8" xfId="0" applyNumberFormat="1" applyFont="1" applyFill="1" applyBorder="1" applyAlignment="1" applyProtection="1">
      <alignment horizontal="right" vertical="top" wrapText="1"/>
    </xf>
    <xf numFmtId="3" fontId="18" fillId="22" borderId="29" xfId="38" applyNumberFormat="1" applyFont="1" applyFill="1" applyBorder="1" applyAlignment="1">
      <alignment horizontal="right" vertical="top"/>
    </xf>
    <xf numFmtId="3" fontId="18" fillId="22" borderId="30" xfId="38" applyNumberFormat="1" applyFont="1" applyFill="1" applyBorder="1" applyAlignment="1">
      <alignment horizontal="right" vertical="top"/>
    </xf>
    <xf numFmtId="3" fontId="18" fillId="22" borderId="28" xfId="38" applyNumberFormat="1" applyFont="1" applyFill="1" applyBorder="1" applyAlignment="1">
      <alignment horizontal="right" vertical="top"/>
    </xf>
    <xf numFmtId="3" fontId="25" fillId="23" borderId="33" xfId="0" applyNumberFormat="1" applyFont="1" applyFill="1" applyBorder="1" applyAlignment="1" applyProtection="1">
      <alignment horizontal="right" vertical="top" wrapText="1"/>
    </xf>
    <xf numFmtId="3" fontId="25" fillId="23" borderId="34" xfId="0" applyNumberFormat="1" applyFont="1" applyFill="1" applyBorder="1" applyAlignment="1" applyProtection="1">
      <alignment horizontal="right" vertical="top" wrapText="1"/>
    </xf>
    <xf numFmtId="0" fontId="26" fillId="0" borderId="28" xfId="33" applyFont="1" applyFill="1" applyBorder="1" applyAlignment="1">
      <alignment vertical="top"/>
    </xf>
    <xf numFmtId="0" fontId="26" fillId="26" borderId="43" xfId="33" applyFont="1" applyFill="1" applyBorder="1" applyAlignment="1" applyProtection="1">
      <alignment vertical="top" wrapText="1"/>
    </xf>
    <xf numFmtId="3" fontId="29" fillId="0" borderId="0" xfId="0" applyNumberFormat="1" applyFont="1" applyAlignment="1">
      <alignment vertical="top"/>
    </xf>
    <xf numFmtId="3" fontId="1" fillId="0" borderId="0" xfId="33" applyNumberFormat="1" applyFont="1" applyFill="1" applyBorder="1" applyAlignment="1">
      <alignment vertical="center"/>
    </xf>
    <xf numFmtId="0" fontId="1" fillId="23" borderId="7" xfId="0" applyNumberFormat="1" applyFont="1" applyFill="1" applyBorder="1" applyAlignment="1" applyProtection="1">
      <alignment horizontal="left" vertical="top" wrapText="1"/>
    </xf>
    <xf numFmtId="0" fontId="1" fillId="23" borderId="7" xfId="0" applyFont="1" applyFill="1" applyBorder="1" applyAlignment="1" applyProtection="1">
      <alignment horizontal="justify" vertical="top"/>
      <protection locked="0"/>
    </xf>
    <xf numFmtId="1" fontId="39" fillId="23" borderId="7" xfId="30" applyNumberFormat="1" applyFont="1" applyFill="1" applyBorder="1" applyAlignment="1" applyProtection="1">
      <alignment horizontal="center" vertical="top" wrapText="1"/>
    </xf>
    <xf numFmtId="4" fontId="1" fillId="23" borderId="7" xfId="0" applyNumberFormat="1" applyFont="1" applyFill="1" applyBorder="1" applyAlignment="1" applyProtection="1">
      <alignment horizontal="justify" vertical="top" wrapText="1"/>
    </xf>
    <xf numFmtId="0" fontId="21" fillId="23" borderId="7" xfId="0" applyFont="1" applyFill="1" applyBorder="1" applyAlignment="1">
      <alignment vertical="top" wrapText="1"/>
    </xf>
    <xf numFmtId="14" fontId="1" fillId="23" borderId="7" xfId="0" applyNumberFormat="1" applyFont="1" applyFill="1" applyBorder="1" applyAlignment="1" applyProtection="1">
      <alignment horizontal="right" vertical="top" wrapText="1"/>
    </xf>
    <xf numFmtId="49" fontId="1" fillId="23" borderId="7" xfId="0" applyNumberFormat="1" applyFont="1" applyFill="1" applyBorder="1" applyAlignment="1">
      <alignment horizontal="justify" vertical="top" wrapText="1"/>
    </xf>
    <xf numFmtId="173" fontId="1" fillId="23" borderId="7" xfId="0" applyNumberFormat="1" applyFont="1" applyFill="1" applyBorder="1" applyAlignment="1" applyProtection="1">
      <alignment horizontal="center" vertical="top" wrapText="1"/>
    </xf>
    <xf numFmtId="15" fontId="1" fillId="23" borderId="7" xfId="0" applyNumberFormat="1" applyFont="1" applyFill="1" applyBorder="1" applyAlignment="1">
      <alignment horizontal="left" vertical="top" wrapText="1"/>
    </xf>
    <xf numFmtId="172" fontId="1" fillId="23" borderId="7" xfId="0" applyNumberFormat="1" applyFont="1" applyFill="1" applyBorder="1" applyAlignment="1">
      <alignment horizontal="right" vertical="top" wrapText="1"/>
    </xf>
    <xf numFmtId="2" fontId="0" fillId="0" borderId="0" xfId="0" applyNumberFormat="1" applyBorder="1"/>
    <xf numFmtId="0" fontId="25" fillId="30" borderId="53" xfId="0" applyFont="1" applyFill="1" applyBorder="1" applyAlignment="1">
      <alignment horizontal="center"/>
    </xf>
    <xf numFmtId="0" fontId="25" fillId="0" borderId="0" xfId="0" applyFont="1" applyBorder="1"/>
    <xf numFmtId="0" fontId="25" fillId="0" borderId="7" xfId="0" applyFont="1" applyBorder="1" applyAlignment="1">
      <alignment horizontal="center"/>
    </xf>
    <xf numFmtId="167" fontId="25" fillId="0" borderId="7" xfId="30" applyNumberFormat="1" applyFont="1" applyBorder="1"/>
    <xf numFmtId="9" fontId="25" fillId="0" borderId="7" xfId="43" applyFont="1" applyBorder="1" applyAlignment="1">
      <alignment horizontal="center"/>
    </xf>
    <xf numFmtId="0" fontId="25" fillId="0" borderId="7" xfId="0" applyFont="1" applyBorder="1"/>
    <xf numFmtId="167" fontId="18" fillId="23" borderId="7" xfId="0" applyNumberFormat="1" applyFont="1" applyFill="1" applyBorder="1"/>
    <xf numFmtId="167" fontId="18" fillId="30" borderId="7" xfId="0" applyNumberFormat="1" applyFont="1" applyFill="1" applyBorder="1"/>
    <xf numFmtId="0" fontId="25" fillId="0" borderId="13" xfId="0" applyFont="1" applyBorder="1"/>
    <xf numFmtId="0" fontId="25" fillId="0" borderId="20" xfId="0" applyFont="1" applyBorder="1" applyAlignment="1">
      <alignment horizontal="center"/>
    </xf>
    <xf numFmtId="167" fontId="25" fillId="0" borderId="0" xfId="30" applyNumberFormat="1" applyFont="1" applyBorder="1"/>
    <xf numFmtId="167" fontId="25" fillId="0" borderId="7" xfId="0" applyNumberFormat="1" applyFont="1" applyBorder="1"/>
    <xf numFmtId="167" fontId="18" fillId="23" borderId="7" xfId="30" applyNumberFormat="1" applyFont="1" applyFill="1" applyBorder="1"/>
    <xf numFmtId="167" fontId="18" fillId="0" borderId="7" xfId="30" applyNumberFormat="1" applyFont="1" applyBorder="1"/>
    <xf numFmtId="167" fontId="25" fillId="0" borderId="0" xfId="0" applyNumberFormat="1" applyFont="1" applyBorder="1"/>
    <xf numFmtId="0" fontId="18" fillId="30" borderId="53" xfId="0" applyFont="1" applyFill="1" applyBorder="1" applyAlignment="1">
      <alignment horizontal="justify"/>
    </xf>
    <xf numFmtId="9" fontId="25" fillId="0" borderId="0" xfId="43" applyFont="1" applyBorder="1"/>
    <xf numFmtId="10" fontId="25" fillId="0" borderId="0" xfId="43" applyNumberFormat="1" applyFont="1" applyBorder="1"/>
    <xf numFmtId="0" fontId="18" fillId="30" borderId="53" xfId="0" applyFont="1" applyFill="1" applyBorder="1" applyAlignment="1">
      <alignment horizontal="center"/>
    </xf>
    <xf numFmtId="0" fontId="19" fillId="30" borderId="53" xfId="0" applyFont="1" applyFill="1" applyBorder="1" applyAlignment="1">
      <alignment vertical="top" wrapText="1"/>
    </xf>
    <xf numFmtId="0" fontId="19" fillId="30" borderId="24" xfId="0" applyFont="1" applyFill="1" applyBorder="1" applyAlignment="1">
      <alignment vertical="top" wrapText="1"/>
    </xf>
    <xf numFmtId="167" fontId="18" fillId="0" borderId="20" xfId="0" applyNumberFormat="1" applyFont="1" applyBorder="1" applyAlignment="1">
      <alignment vertical="center"/>
    </xf>
    <xf numFmtId="167" fontId="18" fillId="0" borderId="52" xfId="0" applyNumberFormat="1" applyFont="1" applyBorder="1" applyAlignment="1">
      <alignment vertical="center"/>
    </xf>
    <xf numFmtId="0" fontId="2" fillId="23" borderId="7" xfId="34" applyFill="1" applyBorder="1" applyAlignment="1">
      <alignment vertical="top" wrapText="1"/>
    </xf>
    <xf numFmtId="0" fontId="32" fillId="23" borderId="7" xfId="39" applyFont="1" applyFill="1" applyBorder="1" applyAlignment="1">
      <alignment horizontal="justify" vertical="top"/>
    </xf>
    <xf numFmtId="3" fontId="39" fillId="36" borderId="7" xfId="0" applyNumberFormat="1" applyFont="1" applyFill="1" applyBorder="1" applyAlignment="1">
      <alignment horizontal="right" vertical="top" wrapText="1"/>
    </xf>
    <xf numFmtId="3" fontId="25" fillId="23" borderId="36" xfId="0" applyNumberFormat="1" applyFont="1" applyFill="1" applyBorder="1" applyAlignment="1" applyProtection="1">
      <alignment horizontal="right" vertical="top" wrapText="1"/>
    </xf>
    <xf numFmtId="3" fontId="25" fillId="23" borderId="55" xfId="0" applyNumberFormat="1" applyFont="1" applyFill="1" applyBorder="1" applyAlignment="1" applyProtection="1">
      <alignment horizontal="right" vertical="top" wrapText="1"/>
    </xf>
    <xf numFmtId="3" fontId="18" fillId="22" borderId="41" xfId="0" applyNumberFormat="1" applyFont="1" applyFill="1" applyBorder="1" applyAlignment="1" applyProtection="1">
      <alignment horizontal="right" vertical="top"/>
    </xf>
    <xf numFmtId="3" fontId="18" fillId="26" borderId="11" xfId="0" applyNumberFormat="1" applyFont="1" applyFill="1" applyBorder="1" applyAlignment="1">
      <alignment horizontal="right" vertical="top"/>
    </xf>
    <xf numFmtId="0" fontId="17" fillId="24" borderId="8" xfId="34" applyNumberFormat="1" applyFont="1" applyFill="1" applyBorder="1" applyAlignment="1">
      <alignment horizontal="center" vertical="top" wrapText="1"/>
    </xf>
    <xf numFmtId="3" fontId="25" fillId="23" borderId="17" xfId="0" applyNumberFormat="1" applyFont="1" applyFill="1" applyBorder="1" applyAlignment="1" applyProtection="1">
      <alignment horizontal="right" vertical="top" wrapText="1"/>
    </xf>
    <xf numFmtId="3" fontId="18" fillId="26" borderId="22" xfId="0" applyNumberFormat="1" applyFont="1" applyFill="1" applyBorder="1" applyAlignment="1">
      <alignment horizontal="right" vertical="top"/>
    </xf>
    <xf numFmtId="3" fontId="18" fillId="26" borderId="28" xfId="0" applyNumberFormat="1" applyFont="1" applyFill="1" applyBorder="1" applyAlignment="1">
      <alignment horizontal="right" vertical="top"/>
    </xf>
    <xf numFmtId="167" fontId="1" fillId="23" borderId="0" xfId="30" applyNumberFormat="1" applyFont="1" applyFill="1" applyAlignment="1">
      <alignment vertical="top"/>
    </xf>
    <xf numFmtId="0" fontId="1" fillId="23" borderId="7" xfId="0" applyFont="1" applyFill="1" applyBorder="1" applyAlignment="1">
      <alignment wrapText="1"/>
    </xf>
    <xf numFmtId="14" fontId="1" fillId="23" borderId="7" xfId="30" applyNumberFormat="1" applyFont="1" applyFill="1" applyBorder="1" applyAlignment="1" applyProtection="1">
      <alignment vertical="top" wrapText="1"/>
    </xf>
    <xf numFmtId="0" fontId="20" fillId="23" borderId="0" xfId="0" applyFont="1" applyFill="1" applyBorder="1" applyAlignment="1">
      <alignment horizontal="justify" vertical="top"/>
    </xf>
    <xf numFmtId="167" fontId="18" fillId="0" borderId="7" xfId="0" applyNumberFormat="1" applyFont="1" applyBorder="1" applyAlignment="1">
      <alignment horizontal="center" vertical="center" wrapText="1"/>
    </xf>
    <xf numFmtId="0" fontId="1" fillId="0" borderId="13" xfId="0" applyFont="1" applyBorder="1"/>
    <xf numFmtId="167" fontId="0" fillId="0" borderId="13" xfId="30" applyNumberFormat="1" applyFont="1" applyBorder="1"/>
    <xf numFmtId="3" fontId="0" fillId="0" borderId="0" xfId="0" applyNumberFormat="1"/>
    <xf numFmtId="3" fontId="1" fillId="0" borderId="0" xfId="0" applyNumberFormat="1" applyFont="1" applyAlignment="1">
      <alignment vertical="top"/>
    </xf>
    <xf numFmtId="0" fontId="1" fillId="0" borderId="0" xfId="0" applyFont="1" applyAlignment="1">
      <alignment horizontal="justify" vertical="top"/>
    </xf>
    <xf numFmtId="0" fontId="2" fillId="23" borderId="7" xfId="34" applyFill="1" applyBorder="1" applyAlignment="1">
      <alignment horizontal="justify" vertical="center"/>
    </xf>
    <xf numFmtId="10" fontId="40" fillId="32" borderId="7" xfId="41" applyNumberFormat="1" applyFont="1" applyFill="1" applyBorder="1" applyAlignment="1">
      <alignment horizontal="center" vertical="center" wrapText="1"/>
    </xf>
    <xf numFmtId="10" fontId="17" fillId="34" borderId="7" xfId="41" applyNumberFormat="1" applyFont="1" applyFill="1" applyBorder="1" applyAlignment="1">
      <alignment horizontal="center" vertical="center" wrapText="1"/>
    </xf>
    <xf numFmtId="14" fontId="1" fillId="23" borderId="7" xfId="0" applyNumberFormat="1" applyFont="1" applyFill="1" applyBorder="1" applyAlignment="1">
      <alignment horizontal="justify" vertical="top"/>
    </xf>
    <xf numFmtId="167" fontId="25" fillId="0" borderId="0" xfId="30" applyNumberFormat="1" applyFont="1" applyAlignment="1">
      <alignment vertical="top"/>
    </xf>
    <xf numFmtId="167" fontId="25" fillId="0" borderId="0" xfId="0" applyNumberFormat="1" applyFont="1" applyAlignment="1">
      <alignment vertical="top"/>
    </xf>
    <xf numFmtId="0" fontId="25" fillId="32" borderId="0" xfId="0" applyFont="1" applyFill="1" applyBorder="1" applyAlignment="1">
      <alignment horizontal="center" vertical="center" wrapText="1"/>
    </xf>
    <xf numFmtId="0" fontId="0" fillId="0" borderId="0" xfId="0" applyBorder="1" applyAlignment="1">
      <alignment horizontal="left" wrapText="1"/>
    </xf>
    <xf numFmtId="3" fontId="0" fillId="0" borderId="0" xfId="0" applyNumberFormat="1" applyBorder="1" applyAlignment="1">
      <alignment horizontal="left" wrapText="1"/>
    </xf>
    <xf numFmtId="167" fontId="0" fillId="0" borderId="0" xfId="30" applyNumberFormat="1" applyFont="1" applyBorder="1"/>
    <xf numFmtId="0" fontId="1" fillId="0" borderId="22" xfId="0" applyFont="1" applyFill="1" applyBorder="1"/>
    <xf numFmtId="0" fontId="0" fillId="0" borderId="42" xfId="0" applyBorder="1" applyAlignment="1">
      <alignment horizontal="left" wrapText="1"/>
    </xf>
    <xf numFmtId="49" fontId="17" fillId="22" borderId="49" xfId="34" applyNumberFormat="1" applyFont="1" applyFill="1" applyBorder="1" applyAlignment="1">
      <alignment horizontal="center" vertical="center" wrapText="1"/>
    </xf>
    <xf numFmtId="49" fontId="17" fillId="31" borderId="49" xfId="34" applyNumberFormat="1" applyFont="1" applyFill="1" applyBorder="1" applyAlignment="1">
      <alignment horizontal="center" vertical="center" wrapText="1"/>
    </xf>
    <xf numFmtId="49" fontId="17" fillId="25" borderId="49" xfId="34" applyNumberFormat="1" applyFont="1" applyFill="1" applyBorder="1" applyAlignment="1">
      <alignment horizontal="center" vertical="center" wrapText="1"/>
    </xf>
    <xf numFmtId="49" fontId="17" fillId="22" borderId="49" xfId="33" applyNumberFormat="1" applyFont="1" applyFill="1" applyBorder="1" applyAlignment="1">
      <alignment horizontal="center" vertical="center" wrapText="1"/>
    </xf>
    <xf numFmtId="165" fontId="17" fillId="47" borderId="49" xfId="34" applyNumberFormat="1" applyFont="1" applyFill="1" applyBorder="1" applyAlignment="1">
      <alignment horizontal="center" vertical="center" wrapText="1"/>
    </xf>
    <xf numFmtId="167" fontId="17" fillId="30" borderId="49" xfId="30" applyNumberFormat="1" applyFont="1" applyFill="1" applyBorder="1" applyAlignment="1">
      <alignment horizontal="center" vertical="center" wrapText="1"/>
    </xf>
    <xf numFmtId="165" fontId="17" fillId="33" borderId="49" xfId="34" applyNumberFormat="1" applyFont="1" applyFill="1" applyBorder="1" applyAlignment="1">
      <alignment horizontal="center" vertical="center" wrapText="1"/>
    </xf>
    <xf numFmtId="3" fontId="17" fillId="22" borderId="49" xfId="34" applyNumberFormat="1" applyFont="1" applyFill="1" applyBorder="1" applyAlignment="1">
      <alignment horizontal="center" vertical="center" wrapText="1"/>
    </xf>
    <xf numFmtId="165" fontId="17" fillId="22" borderId="49" xfId="34" applyNumberFormat="1" applyFont="1" applyFill="1" applyBorder="1" applyAlignment="1">
      <alignment horizontal="center" vertical="center" wrapText="1"/>
    </xf>
    <xf numFmtId="0" fontId="17" fillId="22" borderId="49" xfId="34" applyNumberFormat="1" applyFont="1" applyFill="1" applyBorder="1" applyAlignment="1">
      <alignment horizontal="center" vertical="center" wrapText="1"/>
    </xf>
    <xf numFmtId="0" fontId="17" fillId="29" borderId="49" xfId="34" applyNumberFormat="1" applyFont="1" applyFill="1" applyBorder="1" applyAlignment="1">
      <alignment horizontal="center" vertical="center" wrapText="1"/>
    </xf>
    <xf numFmtId="0" fontId="0" fillId="0" borderId="43" xfId="0" applyBorder="1"/>
    <xf numFmtId="0" fontId="0" fillId="0" borderId="56" xfId="0" applyBorder="1"/>
    <xf numFmtId="0" fontId="0" fillId="0" borderId="35" xfId="0" applyBorder="1"/>
    <xf numFmtId="166" fontId="14" fillId="28" borderId="7" xfId="0" applyNumberFormat="1" applyFont="1" applyFill="1" applyBorder="1" applyAlignment="1">
      <alignment vertical="center"/>
    </xf>
    <xf numFmtId="0" fontId="46" fillId="23" borderId="7" xfId="0" applyFont="1" applyFill="1" applyBorder="1" applyAlignment="1">
      <alignment vertical="top" wrapText="1"/>
    </xf>
    <xf numFmtId="0" fontId="1" fillId="0" borderId="7" xfId="0" applyFont="1" applyBorder="1" applyAlignment="1">
      <alignment horizontal="justify" vertical="top" wrapText="1"/>
    </xf>
    <xf numFmtId="166" fontId="14" fillId="28" borderId="7" xfId="0" applyNumberFormat="1" applyFont="1" applyFill="1" applyBorder="1" applyAlignment="1">
      <alignment horizontal="center" vertical="center"/>
    </xf>
    <xf numFmtId="3" fontId="1" fillId="23" borderId="7" xfId="30" applyNumberFormat="1" applyFont="1" applyFill="1" applyBorder="1" applyAlignment="1">
      <alignment horizontal="center" vertical="top"/>
    </xf>
    <xf numFmtId="0" fontId="45" fillId="23" borderId="7" xfId="34" applyFont="1" applyFill="1" applyBorder="1" applyAlignment="1">
      <alignment horizontal="justify" vertical="top" wrapText="1"/>
    </xf>
    <xf numFmtId="166" fontId="45" fillId="23" borderId="7" xfId="34" applyNumberFormat="1" applyFont="1" applyFill="1" applyBorder="1" applyAlignment="1">
      <alignment horizontal="center" vertical="top" wrapText="1"/>
    </xf>
    <xf numFmtId="0" fontId="14" fillId="32" borderId="31" xfId="34" applyNumberFormat="1" applyFont="1" applyFill="1" applyBorder="1" applyAlignment="1">
      <alignment horizontal="center" vertical="center" wrapText="1"/>
    </xf>
    <xf numFmtId="0" fontId="14" fillId="22" borderId="31" xfId="34" applyNumberFormat="1" applyFont="1" applyFill="1" applyBorder="1" applyAlignment="1">
      <alignment horizontal="center" vertical="center" wrapText="1"/>
    </xf>
    <xf numFmtId="0" fontId="14" fillId="31" borderId="31" xfId="34" applyNumberFormat="1" applyFont="1" applyFill="1" applyBorder="1" applyAlignment="1">
      <alignment horizontal="center" vertical="center" wrapText="1"/>
    </xf>
    <xf numFmtId="3" fontId="48" fillId="25" borderId="31" xfId="33" applyNumberFormat="1" applyFont="1" applyFill="1" applyBorder="1" applyAlignment="1">
      <alignment horizontal="center" vertical="top" wrapText="1"/>
    </xf>
    <xf numFmtId="0" fontId="14" fillId="25" borderId="57" xfId="34" applyNumberFormat="1" applyFont="1" applyFill="1" applyBorder="1" applyAlignment="1">
      <alignment horizontal="center" vertical="center" wrapText="1"/>
    </xf>
    <xf numFmtId="0" fontId="14" fillId="25" borderId="25" xfId="34" applyNumberFormat="1" applyFont="1" applyFill="1" applyBorder="1" applyAlignment="1">
      <alignment horizontal="center" vertical="center" wrapText="1"/>
    </xf>
    <xf numFmtId="49" fontId="14" fillId="0" borderId="58" xfId="33" applyNumberFormat="1" applyFont="1" applyBorder="1" applyAlignment="1"/>
    <xf numFmtId="49" fontId="14" fillId="0" borderId="30" xfId="33" applyNumberFormat="1" applyFont="1" applyBorder="1" applyAlignment="1"/>
    <xf numFmtId="49" fontId="14" fillId="0" borderId="29" xfId="33" applyNumberFormat="1" applyFont="1" applyBorder="1" applyAlignment="1"/>
    <xf numFmtId="175" fontId="1" fillId="23" borderId="7" xfId="0" applyNumberFormat="1" applyFont="1" applyFill="1" applyBorder="1" applyAlignment="1">
      <alignment horizontal="right" vertical="top"/>
    </xf>
    <xf numFmtId="175" fontId="1" fillId="23" borderId="7" xfId="0" applyNumberFormat="1" applyFont="1" applyFill="1" applyBorder="1" applyAlignment="1">
      <alignment horizontal="right" vertical="top" wrapText="1"/>
    </xf>
    <xf numFmtId="175" fontId="1" fillId="23" borderId="7" xfId="0" applyNumberFormat="1" applyFont="1" applyFill="1" applyBorder="1" applyAlignment="1">
      <alignment horizontal="center" vertical="top" wrapText="1"/>
    </xf>
    <xf numFmtId="175" fontId="45" fillId="23" borderId="7" xfId="34" applyNumberFormat="1" applyFont="1" applyFill="1" applyBorder="1" applyAlignment="1">
      <alignment horizontal="right" vertical="top" wrapText="1"/>
    </xf>
    <xf numFmtId="175" fontId="1" fillId="23" borderId="7" xfId="34" applyNumberFormat="1" applyFont="1" applyFill="1" applyBorder="1" applyAlignment="1">
      <alignment horizontal="right" vertical="top" wrapText="1"/>
    </xf>
    <xf numFmtId="175" fontId="45" fillId="23" borderId="7" xfId="0" applyNumberFormat="1" applyFont="1" applyFill="1" applyBorder="1" applyAlignment="1">
      <alignment horizontal="right" vertical="top"/>
    </xf>
    <xf numFmtId="175" fontId="1" fillId="23" borderId="7" xfId="0" applyNumberFormat="1" applyFont="1" applyFill="1" applyBorder="1" applyAlignment="1" applyProtection="1">
      <alignment horizontal="center" vertical="top" wrapText="1"/>
    </xf>
    <xf numFmtId="175" fontId="39" fillId="23" borderId="7" xfId="0" applyNumberFormat="1" applyFont="1" applyFill="1" applyBorder="1" applyAlignment="1" applyProtection="1">
      <alignment horizontal="center" vertical="top" wrapText="1"/>
    </xf>
    <xf numFmtId="175" fontId="1" fillId="23" borderId="7" xfId="0" applyNumberFormat="1" applyFont="1" applyFill="1" applyBorder="1" applyAlignment="1">
      <alignment horizontal="justify" vertical="top"/>
    </xf>
    <xf numFmtId="175" fontId="1" fillId="23" borderId="7" xfId="0" applyNumberFormat="1" applyFont="1" applyFill="1" applyBorder="1" applyAlignment="1">
      <alignment vertical="top"/>
    </xf>
    <xf numFmtId="175" fontId="1" fillId="23" borderId="7" xfId="34" applyNumberFormat="1" applyFont="1" applyFill="1" applyBorder="1" applyAlignment="1">
      <alignment vertical="top" wrapText="1"/>
    </xf>
    <xf numFmtId="175" fontId="0" fillId="23" borderId="7" xfId="0" applyNumberFormat="1" applyFill="1" applyBorder="1" applyAlignment="1">
      <alignment vertical="top"/>
    </xf>
    <xf numFmtId="175" fontId="1" fillId="23" borderId="7" xfId="0" applyNumberFormat="1" applyFont="1" applyFill="1" applyBorder="1" applyAlignment="1" applyProtection="1">
      <alignment horizontal="right" vertical="top" wrapText="1"/>
    </xf>
    <xf numFmtId="175" fontId="1" fillId="23" borderId="7" xfId="0" applyNumberFormat="1" applyFont="1" applyFill="1" applyBorder="1" applyAlignment="1">
      <alignment horizontal="left" vertical="top" wrapText="1"/>
    </xf>
    <xf numFmtId="0" fontId="17" fillId="0" borderId="12" xfId="0" applyFont="1" applyBorder="1" applyAlignment="1">
      <alignment horizontal="center"/>
    </xf>
    <xf numFmtId="0" fontId="17" fillId="0" borderId="0" xfId="0" applyFont="1" applyBorder="1" applyAlignment="1">
      <alignment horizontal="center"/>
    </xf>
    <xf numFmtId="0" fontId="39" fillId="23" borderId="7" xfId="34" applyFont="1" applyFill="1" applyBorder="1" applyAlignment="1">
      <alignment horizontal="justify" vertical="top" wrapText="1"/>
    </xf>
    <xf numFmtId="0" fontId="0" fillId="0" borderId="59" xfId="0" applyBorder="1"/>
    <xf numFmtId="0" fontId="19" fillId="48" borderId="16" xfId="0" applyFont="1" applyFill="1" applyBorder="1" applyAlignment="1">
      <alignment horizontal="center"/>
    </xf>
    <xf numFmtId="0" fontId="19" fillId="48" borderId="40" xfId="0" applyFont="1" applyFill="1" applyBorder="1" applyAlignment="1">
      <alignment horizontal="center"/>
    </xf>
    <xf numFmtId="0" fontId="19" fillId="48" borderId="20" xfId="0" applyFont="1" applyFill="1" applyBorder="1" applyAlignment="1">
      <alignment horizontal="center"/>
    </xf>
    <xf numFmtId="0" fontId="18" fillId="30" borderId="7" xfId="0" applyFont="1" applyFill="1" applyBorder="1" applyAlignment="1">
      <alignment horizontal="center" vertical="center" wrapText="1"/>
    </xf>
    <xf numFmtId="0" fontId="18" fillId="30" borderId="41" xfId="0" applyFont="1" applyFill="1" applyBorder="1" applyAlignment="1">
      <alignment horizontal="center"/>
    </xf>
    <xf numFmtId="0" fontId="18" fillId="30" borderId="40" xfId="0" applyFont="1" applyFill="1" applyBorder="1" applyAlignment="1">
      <alignment horizontal="center"/>
    </xf>
    <xf numFmtId="0" fontId="18" fillId="30" borderId="20" xfId="0" applyFont="1" applyFill="1" applyBorder="1" applyAlignment="1">
      <alignment horizontal="center"/>
    </xf>
    <xf numFmtId="0" fontId="18" fillId="30" borderId="7" xfId="0" applyFont="1" applyFill="1" applyBorder="1" applyAlignment="1">
      <alignment horizontal="center"/>
    </xf>
    <xf numFmtId="0" fontId="19" fillId="0" borderId="41"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 fillId="0" borderId="13" xfId="0" applyFont="1"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17" fillId="0" borderId="46" xfId="0" applyFont="1" applyBorder="1" applyAlignment="1">
      <alignment horizontal="center"/>
    </xf>
    <xf numFmtId="0" fontId="17" fillId="0" borderId="12" xfId="0" applyFont="1" applyBorder="1" applyAlignment="1">
      <alignment horizontal="center"/>
    </xf>
    <xf numFmtId="0" fontId="17" fillId="0" borderId="45" xfId="0" applyFont="1" applyBorder="1" applyAlignment="1">
      <alignment horizontal="center"/>
    </xf>
    <xf numFmtId="0" fontId="17" fillId="0" borderId="0" xfId="0" applyFont="1" applyBorder="1" applyAlignment="1">
      <alignment horizontal="center"/>
    </xf>
    <xf numFmtId="0" fontId="0" fillId="0" borderId="0" xfId="0" applyBorder="1" applyAlignment="1">
      <alignment horizontal="left"/>
    </xf>
    <xf numFmtId="0" fontId="0" fillId="0" borderId="26" xfId="0" applyBorder="1" applyAlignment="1">
      <alignment horizontal="left"/>
    </xf>
    <xf numFmtId="0" fontId="17" fillId="0" borderId="26" xfId="0" applyFont="1" applyBorder="1" applyAlignment="1">
      <alignment horizont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6" xfId="0" applyFont="1" applyBorder="1" applyAlignment="1">
      <alignment horizontal="center" vertical="center" wrapText="1"/>
    </xf>
    <xf numFmtId="0" fontId="18" fillId="0" borderId="14" xfId="0" applyFont="1" applyBorder="1" applyAlignment="1">
      <alignment horizontal="left"/>
    </xf>
    <xf numFmtId="0" fontId="18" fillId="0" borderId="15" xfId="0" applyFont="1" applyBorder="1" applyAlignment="1">
      <alignment horizontal="left"/>
    </xf>
    <xf numFmtId="0" fontId="18" fillId="0" borderId="15" xfId="0" applyFont="1" applyBorder="1" applyAlignment="1">
      <alignment horizontal="center"/>
    </xf>
    <xf numFmtId="0" fontId="18" fillId="0" borderId="42" xfId="0" applyFont="1" applyBorder="1" applyAlignment="1">
      <alignment horizontal="left"/>
    </xf>
    <xf numFmtId="0" fontId="18" fillId="38"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18" fillId="0" borderId="7" xfId="0" applyFont="1" applyFill="1" applyBorder="1" applyAlignment="1" applyProtection="1">
      <alignment horizontal="center" vertical="center" wrapText="1"/>
      <protection locked="0"/>
    </xf>
    <xf numFmtId="0" fontId="17" fillId="40" borderId="7" xfId="0" applyFont="1" applyFill="1" applyBorder="1" applyAlignment="1">
      <alignment horizontal="center" vertical="center" wrapText="1"/>
    </xf>
    <xf numFmtId="0" fontId="39" fillId="0" borderId="7" xfId="30" applyNumberFormat="1" applyFont="1" applyBorder="1"/>
    <xf numFmtId="0" fontId="17" fillId="44" borderId="7" xfId="0" applyFont="1" applyFill="1" applyBorder="1" applyAlignment="1" applyProtection="1">
      <alignment horizontal="center" vertical="center" wrapText="1"/>
      <protection locked="0"/>
    </xf>
    <xf numFmtId="0" fontId="17" fillId="44" borderId="47" xfId="0" applyFont="1" applyFill="1" applyBorder="1" applyAlignment="1" applyProtection="1">
      <alignment horizontal="center" vertical="center" wrapText="1"/>
      <protection locked="0"/>
    </xf>
    <xf numFmtId="0" fontId="17" fillId="39" borderId="7" xfId="0" applyFont="1" applyFill="1" applyBorder="1" applyAlignment="1" applyProtection="1">
      <alignment horizontal="center" vertical="center" textRotation="90" wrapText="1"/>
      <protection locked="0"/>
    </xf>
    <xf numFmtId="0" fontId="17" fillId="39" borderId="47" xfId="0" applyFont="1" applyFill="1" applyBorder="1" applyAlignment="1" applyProtection="1">
      <alignment horizontal="center" vertical="center" textRotation="90" wrapText="1"/>
      <protection locked="0"/>
    </xf>
    <xf numFmtId="1" fontId="17" fillId="45" borderId="7" xfId="0" applyNumberFormat="1" applyFont="1" applyFill="1" applyBorder="1" applyAlignment="1" applyProtection="1">
      <alignment horizontal="center" vertical="center" wrapText="1"/>
      <protection locked="0"/>
    </xf>
    <xf numFmtId="1" fontId="17" fillId="45" borderId="47" xfId="0" applyNumberFormat="1" applyFont="1" applyFill="1" applyBorder="1" applyAlignment="1" applyProtection="1">
      <alignment horizontal="center" vertical="center" wrapText="1"/>
      <protection locked="0"/>
    </xf>
    <xf numFmtId="0" fontId="17" fillId="41" borderId="7" xfId="0" applyFont="1" applyFill="1" applyBorder="1" applyAlignment="1" applyProtection="1">
      <alignment horizontal="center" vertical="center" wrapText="1"/>
      <protection locked="0"/>
    </xf>
    <xf numFmtId="0" fontId="17" fillId="41" borderId="47" xfId="0" applyFont="1" applyFill="1" applyBorder="1" applyAlignment="1" applyProtection="1">
      <alignment horizontal="center" vertical="center" wrapText="1"/>
      <protection locked="0"/>
    </xf>
    <xf numFmtId="0" fontId="17" fillId="38" borderId="16" xfId="0" applyFont="1" applyFill="1" applyBorder="1" applyAlignment="1">
      <alignment horizontal="center" vertical="center" wrapText="1"/>
    </xf>
    <xf numFmtId="0" fontId="17" fillId="38" borderId="40" xfId="0" applyFont="1" applyFill="1" applyBorder="1" applyAlignment="1">
      <alignment horizontal="center" vertical="center" wrapText="1"/>
    </xf>
    <xf numFmtId="0" fontId="17" fillId="38" borderId="20" xfId="0" applyFont="1" applyFill="1" applyBorder="1" applyAlignment="1">
      <alignment horizontal="center" vertical="center" wrapText="1"/>
    </xf>
    <xf numFmtId="0" fontId="17" fillId="40" borderId="16" xfId="0" applyFont="1" applyFill="1" applyBorder="1" applyAlignment="1">
      <alignment horizontal="center" vertical="center" wrapText="1"/>
    </xf>
    <xf numFmtId="0" fontId="17" fillId="40" borderId="40" xfId="0" applyFont="1" applyFill="1" applyBorder="1" applyAlignment="1">
      <alignment horizontal="center" vertical="center" wrapText="1"/>
    </xf>
    <xf numFmtId="0" fontId="17" fillId="40" borderId="20" xfId="0" applyFont="1" applyFill="1" applyBorder="1" applyAlignment="1">
      <alignment horizontal="center" vertical="center" wrapText="1"/>
    </xf>
    <xf numFmtId="0" fontId="17" fillId="42" borderId="7" xfId="0" applyFont="1" applyFill="1" applyBorder="1" applyAlignment="1" applyProtection="1">
      <alignment horizontal="center" vertical="center" wrapText="1"/>
      <protection locked="0"/>
    </xf>
    <xf numFmtId="0" fontId="17" fillId="42" borderId="47" xfId="0" applyFont="1" applyFill="1" applyBorder="1" applyAlignment="1" applyProtection="1">
      <alignment horizontal="center" vertical="center" wrapText="1"/>
      <protection locked="0"/>
    </xf>
    <xf numFmtId="0" fontId="17" fillId="42" borderId="48" xfId="0" applyFont="1" applyFill="1" applyBorder="1" applyAlignment="1" applyProtection="1">
      <alignment horizontal="center" vertical="center" wrapText="1"/>
      <protection locked="0"/>
    </xf>
    <xf numFmtId="0" fontId="17" fillId="38" borderId="7" xfId="0" applyFont="1" applyFill="1" applyBorder="1" applyAlignment="1">
      <alignment horizontal="center" vertical="center" wrapText="1"/>
    </xf>
    <xf numFmtId="0" fontId="17" fillId="38" borderId="47" xfId="0" applyFont="1" applyFill="1" applyBorder="1" applyAlignment="1" applyProtection="1">
      <alignment horizontal="center" vertical="center" wrapText="1"/>
      <protection locked="0"/>
    </xf>
    <xf numFmtId="0" fontId="17" fillId="38" borderId="48" xfId="0" applyFont="1" applyFill="1" applyBorder="1" applyAlignment="1" applyProtection="1">
      <alignment horizontal="center" vertical="center" wrapText="1"/>
      <protection locked="0"/>
    </xf>
    <xf numFmtId="172" fontId="17" fillId="43" borderId="47" xfId="0" applyNumberFormat="1" applyFont="1" applyFill="1" applyBorder="1" applyAlignment="1" applyProtection="1">
      <alignment horizontal="center" vertical="center" wrapText="1"/>
      <protection locked="0"/>
    </xf>
    <xf numFmtId="172" fontId="17" fillId="43" borderId="48" xfId="0" applyNumberFormat="1" applyFont="1" applyFill="1" applyBorder="1" applyAlignment="1" applyProtection="1">
      <alignment horizontal="center" vertical="center" wrapText="1"/>
      <protection locked="0"/>
    </xf>
    <xf numFmtId="49" fontId="17" fillId="40" borderId="7" xfId="0" applyNumberFormat="1" applyFont="1" applyFill="1" applyBorder="1" applyAlignment="1">
      <alignment horizontal="center" vertical="center" wrapText="1"/>
    </xf>
    <xf numFmtId="49" fontId="17" fillId="40" borderId="47" xfId="0" applyNumberFormat="1" applyFont="1" applyFill="1" applyBorder="1" applyAlignment="1">
      <alignment horizontal="center" vertical="center" wrapText="1"/>
    </xf>
    <xf numFmtId="0" fontId="17" fillId="38" borderId="7" xfId="0" applyFont="1" applyFill="1" applyBorder="1" applyAlignment="1" applyProtection="1">
      <alignment horizontal="center" vertical="center" wrapText="1"/>
      <protection locked="0"/>
    </xf>
    <xf numFmtId="0" fontId="17" fillId="38" borderId="7" xfId="0" applyNumberFormat="1" applyFont="1" applyFill="1" applyBorder="1" applyAlignment="1">
      <alignment horizontal="center" vertical="center" textRotation="90" wrapText="1"/>
    </xf>
    <xf numFmtId="0" fontId="17" fillId="38" borderId="47" xfId="0" applyNumberFormat="1" applyFont="1" applyFill="1" applyBorder="1" applyAlignment="1">
      <alignment horizontal="center" vertical="center" textRotation="90" wrapText="1"/>
    </xf>
    <xf numFmtId="167" fontId="17" fillId="41" borderId="7" xfId="30" applyNumberFormat="1" applyFont="1" applyFill="1" applyBorder="1" applyAlignment="1" applyProtection="1">
      <alignment horizontal="center" vertical="center" wrapText="1"/>
      <protection locked="0"/>
    </xf>
    <xf numFmtId="167" fontId="17" fillId="41" borderId="47" xfId="30" applyNumberFormat="1" applyFont="1" applyFill="1" applyBorder="1" applyAlignment="1" applyProtection="1">
      <alignment horizontal="center" vertical="center" wrapText="1"/>
      <protection locked="0"/>
    </xf>
    <xf numFmtId="0" fontId="39" fillId="0" borderId="7" xfId="0" applyFont="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167" fontId="25" fillId="0" borderId="7" xfId="30" applyNumberFormat="1" applyFont="1" applyBorder="1" applyAlignment="1">
      <alignment horizontal="center" vertical="center" wrapText="1"/>
    </xf>
    <xf numFmtId="0" fontId="16" fillId="36" borderId="47" xfId="0" applyFont="1" applyFill="1" applyBorder="1" applyAlignment="1">
      <alignment horizontal="left" vertical="top" wrapText="1"/>
    </xf>
    <xf numFmtId="0" fontId="16" fillId="36" borderId="49" xfId="0" applyFont="1" applyFill="1" applyBorder="1" applyAlignment="1">
      <alignment horizontal="left" vertical="top" wrapText="1"/>
    </xf>
    <xf numFmtId="14" fontId="39" fillId="23" borderId="47" xfId="0" applyNumberFormat="1" applyFont="1" applyFill="1" applyBorder="1" applyAlignment="1">
      <alignment horizontal="center" vertical="top"/>
    </xf>
    <xf numFmtId="14" fontId="39" fillId="23" borderId="48" xfId="0" applyNumberFormat="1" applyFont="1" applyFill="1" applyBorder="1" applyAlignment="1">
      <alignment horizontal="center" vertical="top"/>
    </xf>
    <xf numFmtId="14" fontId="39" fillId="23" borderId="49" xfId="0" applyNumberFormat="1" applyFont="1" applyFill="1" applyBorder="1" applyAlignment="1">
      <alignment horizontal="center" vertical="top"/>
    </xf>
    <xf numFmtId="3" fontId="39" fillId="36" borderId="7" xfId="0" applyNumberFormat="1" applyFont="1" applyFill="1" applyBorder="1" applyAlignment="1">
      <alignment horizontal="justify" vertical="top" wrapText="1"/>
    </xf>
    <xf numFmtId="0" fontId="16" fillId="23" borderId="47" xfId="34" applyFont="1" applyFill="1" applyBorder="1" applyAlignment="1">
      <alignment horizontal="justify" vertical="top" wrapText="1"/>
    </xf>
    <xf numFmtId="0" fontId="16" fillId="23" borderId="48" xfId="34" applyFont="1" applyFill="1" applyBorder="1" applyAlignment="1">
      <alignment horizontal="justify" vertical="top" wrapText="1"/>
    </xf>
    <xf numFmtId="0" fontId="16" fillId="23" borderId="49" xfId="34" applyFont="1" applyFill="1" applyBorder="1" applyAlignment="1">
      <alignment horizontal="justify" vertical="top" wrapText="1"/>
    </xf>
    <xf numFmtId="0" fontId="39" fillId="23" borderId="47" xfId="0" applyFont="1" applyFill="1" applyBorder="1" applyAlignment="1">
      <alignment horizontal="justify" vertical="top" wrapText="1"/>
    </xf>
    <xf numFmtId="0" fontId="39" fillId="23" borderId="48" xfId="0" applyFont="1" applyFill="1" applyBorder="1" applyAlignment="1">
      <alignment horizontal="justify" vertical="top" wrapText="1"/>
    </xf>
    <xf numFmtId="3" fontId="39" fillId="23" borderId="7" xfId="0" applyNumberFormat="1" applyFont="1" applyFill="1" applyBorder="1" applyAlignment="1">
      <alignment horizontal="right" vertical="top" wrapText="1"/>
    </xf>
    <xf numFmtId="3" fontId="39" fillId="36" borderId="7" xfId="0" applyNumberFormat="1" applyFont="1" applyFill="1" applyBorder="1" applyAlignment="1">
      <alignment horizontal="right" vertical="top" wrapText="1"/>
    </xf>
    <xf numFmtId="3" fontId="38" fillId="36" borderId="47" xfId="0" applyNumberFormat="1" applyFont="1" applyFill="1" applyBorder="1" applyAlignment="1">
      <alignment horizontal="center" vertical="top" wrapText="1"/>
    </xf>
    <xf numFmtId="3" fontId="38" fillId="36" borderId="48" xfId="0" applyNumberFormat="1" applyFont="1" applyFill="1" applyBorder="1" applyAlignment="1">
      <alignment horizontal="center" vertical="top" wrapText="1"/>
    </xf>
    <xf numFmtId="3" fontId="38" fillId="36" borderId="49" xfId="0" applyNumberFormat="1" applyFont="1" applyFill="1" applyBorder="1" applyAlignment="1">
      <alignment horizontal="center" vertical="top" wrapText="1"/>
    </xf>
    <xf numFmtId="4" fontId="41" fillId="36" borderId="47" xfId="0" applyNumberFormat="1" applyFont="1" applyFill="1" applyBorder="1" applyAlignment="1">
      <alignment horizontal="justify" vertical="center" wrapText="1"/>
    </xf>
    <xf numFmtId="4" fontId="41" fillId="36" borderId="49" xfId="0" applyNumberFormat="1" applyFont="1" applyFill="1" applyBorder="1" applyAlignment="1">
      <alignment horizontal="justify" vertical="center" wrapText="1"/>
    </xf>
    <xf numFmtId="0" fontId="36" fillId="34" borderId="45" xfId="0" applyFont="1" applyFill="1" applyBorder="1" applyAlignment="1">
      <alignment horizontal="left"/>
    </xf>
    <xf numFmtId="0" fontId="36" fillId="34" borderId="0" xfId="0" applyFont="1" applyFill="1" applyBorder="1" applyAlignment="1">
      <alignment horizontal="left"/>
    </xf>
    <xf numFmtId="0" fontId="40" fillId="28" borderId="36" xfId="0" applyFont="1" applyFill="1" applyBorder="1" applyAlignment="1">
      <alignment horizontal="left" vertical="top" wrapText="1"/>
    </xf>
    <xf numFmtId="0" fontId="40" fillId="28" borderId="6" xfId="0" applyFont="1" applyFill="1" applyBorder="1" applyAlignment="1">
      <alignment horizontal="left" vertical="top" wrapText="1"/>
    </xf>
    <xf numFmtId="0" fontId="38" fillId="36" borderId="47" xfId="0" applyFont="1" applyFill="1" applyBorder="1" applyAlignment="1">
      <alignment horizontal="justify" vertical="top" wrapText="1"/>
    </xf>
    <xf numFmtId="0" fontId="38" fillId="36" borderId="48" xfId="0" applyFont="1" applyFill="1" applyBorder="1" applyAlignment="1">
      <alignment horizontal="justify" vertical="top" wrapText="1"/>
    </xf>
    <xf numFmtId="0" fontId="38" fillId="36" borderId="49" xfId="0" applyFont="1" applyFill="1" applyBorder="1" applyAlignment="1">
      <alignment horizontal="justify" vertical="top"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Hipervínculo" xfId="42" builtinId="8"/>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xfId="43" builtinId="5"/>
    <cellStyle name="Porcentaje 2 2" xfId="41"/>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85725</xdr:rowOff>
    </xdr:from>
    <xdr:to>
      <xdr:col>0</xdr:col>
      <xdr:colOff>1285875</xdr:colOff>
      <xdr:row>5</xdr:row>
      <xdr:rowOff>19050</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257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2"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14093" cy="1167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linasaenzh@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zoomScale="80" zoomScaleNormal="80" workbookViewId="0">
      <pane ySplit="9" topLeftCell="A34" activePane="bottomLeft" state="frozen"/>
      <selection pane="bottomLeft" activeCell="G8" sqref="G8"/>
    </sheetView>
  </sheetViews>
  <sheetFormatPr baseColWidth="10" defaultRowHeight="12.75" x14ac:dyDescent="0.2"/>
  <cols>
    <col min="1" max="1" width="18.42578125" customWidth="1"/>
    <col min="2" max="2" width="26.5703125" customWidth="1"/>
    <col min="3" max="3" width="18.85546875" customWidth="1"/>
    <col min="4" max="4" width="17.85546875" customWidth="1"/>
    <col min="5" max="5" width="17" bestFit="1" customWidth="1"/>
    <col min="6" max="6" width="17.5703125" bestFit="1" customWidth="1"/>
    <col min="7" max="7" width="15" customWidth="1"/>
    <col min="8" max="8" width="14.7109375" customWidth="1"/>
    <col min="9" max="9" width="17.140625" customWidth="1"/>
    <col min="10" max="10" width="16.42578125" customWidth="1"/>
    <col min="11" max="11" width="16.85546875" bestFit="1" customWidth="1"/>
    <col min="12" max="12" width="19.7109375" customWidth="1"/>
    <col min="13" max="13" width="18.42578125" customWidth="1"/>
    <col min="14" max="14" width="20.7109375" bestFit="1" customWidth="1"/>
    <col min="15" max="15" width="12.85546875" bestFit="1" customWidth="1"/>
  </cols>
  <sheetData>
    <row r="1" spans="1:13" ht="12.75" customHeight="1" x14ac:dyDescent="0.2">
      <c r="A1" s="31"/>
      <c r="B1" s="527"/>
      <c r="C1" s="528"/>
      <c r="D1" s="528"/>
      <c r="E1" s="528"/>
      <c r="F1" s="528"/>
      <c r="G1" s="507"/>
      <c r="H1" s="507"/>
      <c r="I1" s="32"/>
      <c r="J1" s="32"/>
      <c r="K1" s="32"/>
      <c r="L1" s="33"/>
    </row>
    <row r="2" spans="1:13" ht="15" customHeight="1" x14ac:dyDescent="0.2">
      <c r="A2" s="35"/>
      <c r="B2" s="529"/>
      <c r="C2" s="530"/>
      <c r="D2" s="530"/>
      <c r="E2" s="530"/>
      <c r="F2" s="530"/>
      <c r="G2" s="508"/>
      <c r="H2" s="508"/>
      <c r="I2" s="36"/>
      <c r="J2" s="36"/>
      <c r="K2" s="531"/>
      <c r="L2" s="532"/>
    </row>
    <row r="3" spans="1:13" ht="15.75" customHeight="1" x14ac:dyDescent="0.2">
      <c r="A3" s="35"/>
      <c r="B3" s="529" t="s">
        <v>255</v>
      </c>
      <c r="C3" s="530"/>
      <c r="D3" s="530"/>
      <c r="E3" s="530"/>
      <c r="F3" s="530"/>
      <c r="G3" s="530"/>
      <c r="H3" s="530"/>
      <c r="I3" s="530"/>
      <c r="J3" s="530"/>
      <c r="K3" s="530"/>
      <c r="L3" s="533"/>
    </row>
    <row r="4" spans="1:13" ht="15" customHeight="1" x14ac:dyDescent="0.2">
      <c r="A4" s="35"/>
      <c r="B4" s="529" t="s">
        <v>229</v>
      </c>
      <c r="C4" s="530"/>
      <c r="D4" s="530"/>
      <c r="E4" s="530"/>
      <c r="F4" s="530"/>
      <c r="G4" s="530"/>
      <c r="H4" s="530"/>
      <c r="I4" s="530"/>
      <c r="J4" s="530"/>
      <c r="K4" s="530"/>
      <c r="L4" s="533"/>
    </row>
    <row r="5" spans="1:13" ht="15" customHeight="1" x14ac:dyDescent="0.2">
      <c r="A5" s="35"/>
      <c r="B5" s="36"/>
      <c r="C5" s="36"/>
      <c r="D5" s="36"/>
      <c r="E5" s="36"/>
      <c r="F5" s="36"/>
      <c r="G5" s="36"/>
      <c r="H5" s="36"/>
      <c r="I5" s="36"/>
      <c r="J5" s="36"/>
      <c r="K5" s="531"/>
      <c r="L5" s="532"/>
    </row>
    <row r="6" spans="1:13" ht="17.25" customHeight="1" thickBot="1" x14ac:dyDescent="0.25">
      <c r="A6" s="510"/>
      <c r="B6" s="133"/>
      <c r="C6" s="133"/>
      <c r="D6" s="133"/>
      <c r="E6" s="133"/>
      <c r="F6" s="133"/>
      <c r="G6" s="133"/>
      <c r="H6" s="133"/>
      <c r="I6" s="133"/>
      <c r="J6" s="133"/>
      <c r="K6" s="133"/>
      <c r="L6" s="132"/>
    </row>
    <row r="7" spans="1:13" ht="21" customHeight="1" thickBot="1" x14ac:dyDescent="0.25">
      <c r="A7" s="490" t="s">
        <v>628</v>
      </c>
      <c r="B7" s="491"/>
      <c r="C7" s="491"/>
      <c r="D7" s="491"/>
      <c r="E7" s="491"/>
      <c r="F7" s="491"/>
      <c r="G7" s="491"/>
      <c r="H7" s="491"/>
      <c r="I7" s="491"/>
      <c r="J7" s="491"/>
      <c r="K7" s="491"/>
      <c r="L7" s="492"/>
    </row>
    <row r="8" spans="1:13" ht="131.25" customHeight="1" x14ac:dyDescent="0.2">
      <c r="A8" s="485" t="s">
        <v>230</v>
      </c>
      <c r="B8" s="485" t="s">
        <v>231</v>
      </c>
      <c r="C8" s="485" t="s">
        <v>569</v>
      </c>
      <c r="D8" s="485" t="s">
        <v>568</v>
      </c>
      <c r="E8" s="484" t="s">
        <v>570</v>
      </c>
      <c r="F8" s="485" t="s">
        <v>571</v>
      </c>
      <c r="G8" s="485" t="s">
        <v>572</v>
      </c>
      <c r="H8" s="486" t="s">
        <v>574</v>
      </c>
      <c r="I8" s="487" t="s">
        <v>688</v>
      </c>
      <c r="J8" s="488" t="s">
        <v>689</v>
      </c>
      <c r="K8" s="484" t="s">
        <v>633</v>
      </c>
      <c r="L8" s="489" t="s">
        <v>573</v>
      </c>
    </row>
    <row r="9" spans="1:13" s="39" customFormat="1" ht="13.5" thickBot="1" x14ac:dyDescent="0.25">
      <c r="A9" s="37">
        <v>1</v>
      </c>
      <c r="B9" s="37">
        <v>2</v>
      </c>
      <c r="C9" s="37">
        <v>3</v>
      </c>
      <c r="D9" s="37">
        <v>4</v>
      </c>
      <c r="E9" s="37">
        <v>5</v>
      </c>
      <c r="F9" s="37">
        <v>6</v>
      </c>
      <c r="G9" s="37">
        <v>7</v>
      </c>
      <c r="H9" s="37">
        <v>8</v>
      </c>
      <c r="I9" s="37">
        <v>9</v>
      </c>
      <c r="J9" s="38">
        <v>10</v>
      </c>
      <c r="K9" s="37">
        <v>11</v>
      </c>
      <c r="L9" s="437">
        <v>12</v>
      </c>
    </row>
    <row r="10" spans="1:13" s="42" customFormat="1" ht="30.75" customHeight="1" thickBot="1" x14ac:dyDescent="0.25">
      <c r="A10" s="40">
        <v>31102</v>
      </c>
      <c r="B10" s="41" t="s">
        <v>232</v>
      </c>
      <c r="C10" s="387">
        <f t="shared" ref="C10:L10" si="0">SUM(C11:C12)</f>
        <v>580000000</v>
      </c>
      <c r="D10" s="387">
        <f t="shared" ref="D10:E10" si="1">SUM(D11:D12)</f>
        <v>116000000</v>
      </c>
      <c r="E10" s="387">
        <f t="shared" si="1"/>
        <v>464000000</v>
      </c>
      <c r="F10" s="387">
        <f t="shared" si="0"/>
        <v>211293690</v>
      </c>
      <c r="G10" s="387">
        <f>SUM(G11:G12)</f>
        <v>166293690</v>
      </c>
      <c r="H10" s="387">
        <f>SUM(H11:H12)</f>
        <v>48720000</v>
      </c>
      <c r="I10" s="387">
        <f t="shared" si="0"/>
        <v>248986310</v>
      </c>
      <c r="J10" s="388">
        <f t="shared" si="0"/>
        <v>319986310</v>
      </c>
      <c r="K10" s="389">
        <f t="shared" si="0"/>
        <v>248986310</v>
      </c>
      <c r="L10" s="387">
        <f t="shared" si="0"/>
        <v>331013690</v>
      </c>
      <c r="M10" s="43"/>
    </row>
    <row r="11" spans="1:13" s="48" customFormat="1" ht="21.75" customHeight="1" x14ac:dyDescent="0.2">
      <c r="A11" s="44">
        <v>311020301</v>
      </c>
      <c r="B11" s="45" t="s">
        <v>82</v>
      </c>
      <c r="C11" s="128">
        <v>500000000</v>
      </c>
      <c r="D11" s="128">
        <v>100000000</v>
      </c>
      <c r="E11" s="128">
        <f>+C11-D11</f>
        <v>400000000</v>
      </c>
      <c r="F11" s="46">
        <f>'PLAN DE ADQUISICIONES 2016'!I33+'PLAN DE ADQUISICIONES 2016'!I42+'PLAN DE ADQUISICIONES 2016'!I61+'PLAN DE ADQUISICIONES 2016'!I63+'PLAN DE ADQUISICIONES 2016'!I79+'PLAN DE ADQUISICIONES 2016'!I109+'PLAN DE ADQUISICIONES 2016'!I110+'PLAN DE ADQUISICIONES 2016'!I111</f>
        <v>211293690</v>
      </c>
      <c r="G11" s="46">
        <f>'PLAN DE ADQUISICIONES 2016'!J33+'PLAN DE ADQUISICIONES 2016'!J42+'PLAN DE ADQUISICIONES 2016'!J61+'PLAN DE ADQUISICIONES 2016'!J63+'PLAN DE ADQUISICIONES 2016'!J79+'PLAN DE ADQUISICIONES 2016'!J109+'PLAN DE ADQUISICIONES 2016'!J110+'PLAN DE ADQUISICIONES 2016'!J111</f>
        <v>166293690</v>
      </c>
      <c r="H11" s="46">
        <f>'ADICIONES A CONTRATOS'!H8</f>
        <v>24000000</v>
      </c>
      <c r="I11" s="46">
        <f>E11-G11-H11</f>
        <v>209706310</v>
      </c>
      <c r="J11" s="433">
        <f>C11-F11-H11</f>
        <v>264706310</v>
      </c>
      <c r="K11" s="47">
        <v>209706310</v>
      </c>
      <c r="L11" s="438">
        <f>C11-K11</f>
        <v>290293690</v>
      </c>
      <c r="M11" s="49"/>
    </row>
    <row r="12" spans="1:13" s="48" customFormat="1" ht="30.75" thickBot="1" x14ac:dyDescent="0.25">
      <c r="A12" s="50">
        <v>3110204</v>
      </c>
      <c r="B12" s="51" t="s">
        <v>233</v>
      </c>
      <c r="C12" s="386">
        <v>80000000</v>
      </c>
      <c r="D12" s="386">
        <v>16000000</v>
      </c>
      <c r="E12" s="386">
        <f t="shared" ref="E12" si="2">+C12-D12</f>
        <v>64000000</v>
      </c>
      <c r="F12" s="390">
        <v>0</v>
      </c>
      <c r="G12" s="390">
        <v>0</v>
      </c>
      <c r="H12" s="391">
        <f>'ADICIONES A CONTRATOS'!H7+'ADICIONES A CONTRATOS'!H9+'ADICIONES A CONTRATOS'!H12</f>
        <v>24720000</v>
      </c>
      <c r="I12" s="46">
        <f>E12-G12-H12</f>
        <v>39280000</v>
      </c>
      <c r="J12" s="434">
        <f>C12-F12-H12</f>
        <v>55280000</v>
      </c>
      <c r="K12" s="47">
        <v>39280000</v>
      </c>
      <c r="L12" s="438">
        <f>C12-K12</f>
        <v>40720000</v>
      </c>
      <c r="M12" s="49"/>
    </row>
    <row r="13" spans="1:13" s="42" customFormat="1" ht="30.75" thickBot="1" x14ac:dyDescent="0.25">
      <c r="A13" s="40">
        <v>312</v>
      </c>
      <c r="B13" s="52" t="s">
        <v>234</v>
      </c>
      <c r="C13" s="53">
        <f t="shared" ref="C13:L13" si="3">SUM(C14:C38)-(C14+C20+C25+C27+C29+C35)</f>
        <v>4884800000</v>
      </c>
      <c r="D13" s="53">
        <f t="shared" ref="D13:E13" si="4">SUM(D14:D38)-(D14+D20+D25+D27+D29+D35)</f>
        <v>972944880</v>
      </c>
      <c r="E13" s="53">
        <f t="shared" si="4"/>
        <v>3911855120</v>
      </c>
      <c r="F13" s="53">
        <f t="shared" si="3"/>
        <v>3629962544</v>
      </c>
      <c r="G13" s="53">
        <f>SUM(G14:G38)-(G14+G20+G25+G27+G29+G35)</f>
        <v>138230391</v>
      </c>
      <c r="H13" s="53">
        <f>SUM(H14:H38)-(H14+H20+H25+H27+H29+H35)</f>
        <v>308305681</v>
      </c>
      <c r="I13" s="53">
        <f t="shared" si="3"/>
        <v>3465319048</v>
      </c>
      <c r="J13" s="55">
        <f t="shared" si="3"/>
        <v>946531775</v>
      </c>
      <c r="K13" s="56">
        <f t="shared" si="3"/>
        <v>2986525072</v>
      </c>
      <c r="L13" s="53">
        <f t="shared" si="3"/>
        <v>1898274928</v>
      </c>
    </row>
    <row r="14" spans="1:13" s="42" customFormat="1" ht="16.5" thickBot="1" x14ac:dyDescent="0.25">
      <c r="A14" s="40">
        <v>31201</v>
      </c>
      <c r="B14" s="54" t="s">
        <v>128</v>
      </c>
      <c r="C14" s="53">
        <f t="shared" ref="C14:J14" si="5">SUM(C15:C19)</f>
        <v>832126000</v>
      </c>
      <c r="D14" s="53">
        <f t="shared" ref="D14:E14" si="6">SUM(D15:D19)</f>
        <v>147425200</v>
      </c>
      <c r="E14" s="53">
        <f t="shared" si="6"/>
        <v>684700800</v>
      </c>
      <c r="F14" s="53">
        <f t="shared" si="5"/>
        <v>815858694</v>
      </c>
      <c r="G14" s="53">
        <f>SUM(G15:G19)</f>
        <v>0</v>
      </c>
      <c r="H14" s="53">
        <f>SUM(H15:H19)</f>
        <v>700000</v>
      </c>
      <c r="I14" s="53">
        <f>SUM(I15:I19)</f>
        <v>684000800</v>
      </c>
      <c r="J14" s="55">
        <f t="shared" si="5"/>
        <v>15567306</v>
      </c>
      <c r="K14" s="56">
        <f>SUM(K15:K19)</f>
        <v>565682968</v>
      </c>
      <c r="L14" s="53">
        <f>SUM(L15:L19)</f>
        <v>266443032</v>
      </c>
      <c r="M14" s="43"/>
    </row>
    <row r="15" spans="1:13" s="48" customFormat="1" ht="15" x14ac:dyDescent="0.2">
      <c r="A15" s="50">
        <v>3120101</v>
      </c>
      <c r="B15" s="45" t="s">
        <v>235</v>
      </c>
      <c r="C15" s="120">
        <v>95000000</v>
      </c>
      <c r="D15" s="120"/>
      <c r="E15" s="128">
        <f t="shared" ref="E15:E43" si="7">+C15-D15</f>
        <v>95000000</v>
      </c>
      <c r="F15" s="58">
        <f>'PLAN DE ADQUISICIONES 2016'!I9</f>
        <v>95000000</v>
      </c>
      <c r="G15" s="58">
        <f>'PLAN DE ADQUISICIONES 2016'!J9</f>
        <v>0</v>
      </c>
      <c r="H15" s="58">
        <f>'ADICIONES A CONTRATOS'!H6</f>
        <v>700000</v>
      </c>
      <c r="I15" s="46">
        <f>E15-G15-H15</f>
        <v>94300000</v>
      </c>
      <c r="J15" s="433">
        <f>C15-F15-H15</f>
        <v>-700000</v>
      </c>
      <c r="K15" s="59">
        <v>94300000</v>
      </c>
      <c r="L15" s="57">
        <f>C15-K15</f>
        <v>700000</v>
      </c>
      <c r="M15" s="49"/>
    </row>
    <row r="16" spans="1:13" s="48" customFormat="1" ht="15" x14ac:dyDescent="0.2">
      <c r="A16" s="44">
        <v>3120102</v>
      </c>
      <c r="B16" s="51" t="s">
        <v>169</v>
      </c>
      <c r="C16" s="121">
        <v>187839000</v>
      </c>
      <c r="D16" s="121">
        <v>37567800</v>
      </c>
      <c r="E16" s="128">
        <f t="shared" si="7"/>
        <v>150271200</v>
      </c>
      <c r="F16" s="61">
        <f>'PLAN DE ADQUISICIONES 2016'!I54+'PLAN DE ADQUISICIONES 2016'!I57+'PLAN DE ADQUISICIONES 2016'!I70</f>
        <v>191251600</v>
      </c>
      <c r="G16" s="61">
        <f>'PLAN DE ADQUISICIONES 2016'!J54+'PLAN DE ADQUISICIONES 2016'!J57+'PLAN DE ADQUISICIONES 2016'!J70</f>
        <v>0</v>
      </c>
      <c r="H16" s="61"/>
      <c r="I16" s="46">
        <f>E16-G16-H16</f>
        <v>150271200</v>
      </c>
      <c r="J16" s="433">
        <f>C16-F16-H16</f>
        <v>-3412600</v>
      </c>
      <c r="K16" s="62">
        <v>148771000</v>
      </c>
      <c r="L16" s="60">
        <f>C16-K16</f>
        <v>39068000</v>
      </c>
      <c r="M16" s="49"/>
    </row>
    <row r="17" spans="1:13" s="48" customFormat="1" ht="30" x14ac:dyDescent="0.2">
      <c r="A17" s="44">
        <v>3120103</v>
      </c>
      <c r="B17" s="51" t="s">
        <v>236</v>
      </c>
      <c r="C17" s="121">
        <v>158860000</v>
      </c>
      <c r="D17" s="121">
        <v>31772000</v>
      </c>
      <c r="E17" s="128">
        <f t="shared" si="7"/>
        <v>127088000</v>
      </c>
      <c r="F17" s="61">
        <f>'PLAN DE ADQUISICIONES 2016'!I66+'PLAN DE ADQUISICIONES 2016'!I68+'PLAN DE ADQUISICIONES 2016'!I69</f>
        <v>152029032</v>
      </c>
      <c r="G17" s="61">
        <f>'PLAN DE ADQUISICIONES 2016'!J66+'PLAN DE ADQUISICIONES 2016'!J68+'PLAN DE ADQUISICIONES 2016'!J69</f>
        <v>0</v>
      </c>
      <c r="H17" s="61"/>
      <c r="I17" s="46">
        <f>E17-G17-H17</f>
        <v>127088000</v>
      </c>
      <c r="J17" s="433">
        <f>C17-F17-H17</f>
        <v>6830968</v>
      </c>
      <c r="K17" s="62">
        <v>18769968</v>
      </c>
      <c r="L17" s="60">
        <f>C17-K17</f>
        <v>140090032</v>
      </c>
      <c r="M17" s="49"/>
    </row>
    <row r="18" spans="1:13" s="48" customFormat="1" ht="15" x14ac:dyDescent="0.2">
      <c r="A18" s="44">
        <v>3120104</v>
      </c>
      <c r="B18" s="51" t="s">
        <v>237</v>
      </c>
      <c r="C18" s="121">
        <v>367927000</v>
      </c>
      <c r="D18" s="121">
        <v>73585400</v>
      </c>
      <c r="E18" s="128">
        <f t="shared" si="7"/>
        <v>294341600</v>
      </c>
      <c r="F18" s="61">
        <f>'PLAN DE ADQUISICIONES 2016'!I55+'PLAN DE ADQUISICIONES 2016'!I64+'PLAN DE ADQUISICIONES 2016'!I65</f>
        <v>361153362</v>
      </c>
      <c r="G18" s="61">
        <f>'PLAN DE ADQUISICIONES 2016'!J55+'PLAN DE ADQUISICIONES 2016'!J64+'PLAN DE ADQUISICIONES 2016'!J65</f>
        <v>0</v>
      </c>
      <c r="H18" s="61"/>
      <c r="I18" s="46">
        <f>E18-G18-H18</f>
        <v>294341600</v>
      </c>
      <c r="J18" s="433">
        <f>C18-F18-H18</f>
        <v>6773638</v>
      </c>
      <c r="K18" s="62">
        <v>285842000</v>
      </c>
      <c r="L18" s="60">
        <f>C18-K18</f>
        <v>82085000</v>
      </c>
      <c r="M18" s="49"/>
    </row>
    <row r="19" spans="1:13" s="48" customFormat="1" ht="15.75" thickBot="1" x14ac:dyDescent="0.25">
      <c r="A19" s="63">
        <v>3120105</v>
      </c>
      <c r="B19" s="64" t="s">
        <v>138</v>
      </c>
      <c r="C19" s="65">
        <v>22500000</v>
      </c>
      <c r="D19" s="65">
        <v>4500000</v>
      </c>
      <c r="E19" s="128">
        <f t="shared" si="7"/>
        <v>18000000</v>
      </c>
      <c r="F19" s="66">
        <f>'PLAN DE ADQUISICIONES 2016'!I62</f>
        <v>16424700</v>
      </c>
      <c r="G19" s="66">
        <f>'PLAN DE ADQUISICIONES 2016'!J62</f>
        <v>0</v>
      </c>
      <c r="H19" s="61">
        <v>0</v>
      </c>
      <c r="I19" s="46">
        <f>E19-G19-H19</f>
        <v>18000000</v>
      </c>
      <c r="J19" s="433">
        <f>C19-F19-H19</f>
        <v>6075300</v>
      </c>
      <c r="K19" s="67">
        <v>18000000</v>
      </c>
      <c r="L19" s="65">
        <f>C19-K19</f>
        <v>4500000</v>
      </c>
      <c r="M19" s="49"/>
    </row>
    <row r="20" spans="1:13" s="42" customFormat="1" ht="30.75" customHeight="1" thickBot="1" x14ac:dyDescent="0.25">
      <c r="A20" s="40">
        <v>31202</v>
      </c>
      <c r="B20" s="52" t="s">
        <v>238</v>
      </c>
      <c r="C20" s="53">
        <f t="shared" ref="C20:L20" si="8">SUM(C21:C38)-(C25+C27+C29+C35)</f>
        <v>4052674000</v>
      </c>
      <c r="D20" s="53">
        <f t="shared" ref="D20:E20" si="9">SUM(D21:D38)-(D25+D27+D29+D35)</f>
        <v>825519680</v>
      </c>
      <c r="E20" s="53">
        <f t="shared" si="9"/>
        <v>3227154320</v>
      </c>
      <c r="F20" s="53">
        <f t="shared" si="8"/>
        <v>2814103850</v>
      </c>
      <c r="G20" s="53">
        <f>SUM(G21:G38)-(G25+G27+G29+G35)</f>
        <v>138230391</v>
      </c>
      <c r="H20" s="53">
        <f>SUM(H21:H38)-(H25+H27+H29+H35)</f>
        <v>307605681</v>
      </c>
      <c r="I20" s="53">
        <f t="shared" si="8"/>
        <v>2781318248</v>
      </c>
      <c r="J20" s="55">
        <f t="shared" si="8"/>
        <v>930964469</v>
      </c>
      <c r="K20" s="56">
        <f t="shared" si="8"/>
        <v>2420842104</v>
      </c>
      <c r="L20" s="53">
        <f t="shared" si="8"/>
        <v>1631831896</v>
      </c>
    </row>
    <row r="21" spans="1:13" s="48" customFormat="1" ht="15" x14ac:dyDescent="0.2">
      <c r="A21" s="50">
        <v>3120201</v>
      </c>
      <c r="B21" s="68" t="s">
        <v>183</v>
      </c>
      <c r="C21" s="120">
        <v>141213000</v>
      </c>
      <c r="D21" s="120">
        <v>32242600</v>
      </c>
      <c r="E21" s="128">
        <f t="shared" si="7"/>
        <v>108970400</v>
      </c>
      <c r="F21" s="58">
        <f>'PLAN DE ADQUISICIONES 2016'!I75</f>
        <v>72351180</v>
      </c>
      <c r="G21" s="58">
        <f>'PLAN DE ADQUISICIONES 2016'!J75</f>
        <v>72351180</v>
      </c>
      <c r="H21" s="119"/>
      <c r="I21" s="46">
        <f>E21-G21-H21</f>
        <v>36619220</v>
      </c>
      <c r="J21" s="433">
        <f>C21-F21-H21</f>
        <v>68861820</v>
      </c>
      <c r="K21" s="59">
        <v>36618820</v>
      </c>
      <c r="L21" s="57">
        <f>C21-K21</f>
        <v>104594180</v>
      </c>
      <c r="M21" s="49"/>
    </row>
    <row r="22" spans="1:13" s="48" customFormat="1" ht="30" x14ac:dyDescent="0.2">
      <c r="A22" s="44">
        <v>3120202</v>
      </c>
      <c r="B22" s="69" t="s">
        <v>239</v>
      </c>
      <c r="C22" s="121">
        <v>30000000</v>
      </c>
      <c r="D22" s="121">
        <v>6000000</v>
      </c>
      <c r="E22" s="128">
        <f t="shared" si="7"/>
        <v>24000000</v>
      </c>
      <c r="F22" s="61">
        <f>'PLAN DE ADQUISICIONES 2016'!I7</f>
        <v>30000000</v>
      </c>
      <c r="G22" s="61">
        <f>'PLAN DE ADQUISICIONES 2016'!J7</f>
        <v>0</v>
      </c>
      <c r="H22" s="119"/>
      <c r="I22" s="46">
        <f>E22-G22-H22</f>
        <v>24000000</v>
      </c>
      <c r="J22" s="433">
        <f>C22-F22-H22</f>
        <v>0</v>
      </c>
      <c r="K22" s="62">
        <v>20185877</v>
      </c>
      <c r="L22" s="60">
        <f>C22-K22</f>
        <v>9814123</v>
      </c>
      <c r="M22" s="49"/>
    </row>
    <row r="23" spans="1:13" s="48" customFormat="1" ht="30" x14ac:dyDescent="0.2">
      <c r="A23" s="44">
        <v>3120203</v>
      </c>
      <c r="B23" s="70" t="s">
        <v>172</v>
      </c>
      <c r="C23" s="122">
        <v>224254000</v>
      </c>
      <c r="D23" s="122">
        <v>44850800</v>
      </c>
      <c r="E23" s="128">
        <f t="shared" si="7"/>
        <v>179403200</v>
      </c>
      <c r="F23" s="66">
        <f>'PLAN DE ADQUISICIONES 2016'!I71+'PLAN DE ADQUISICIONES 2016'!I72</f>
        <v>61514325</v>
      </c>
      <c r="G23" s="66">
        <f>'PLAN DE ADQUISICIONES 2016'!J71+'PLAN DE ADQUISICIONES 2016'!J72</f>
        <v>0</v>
      </c>
      <c r="H23" s="119"/>
      <c r="I23" s="46">
        <f>E23-G23-H23</f>
        <v>179403200</v>
      </c>
      <c r="J23" s="433">
        <f>C23-F23-H23</f>
        <v>162739675</v>
      </c>
      <c r="K23" s="62">
        <v>157193416</v>
      </c>
      <c r="L23" s="60">
        <f>C23-K23</f>
        <v>67060584</v>
      </c>
      <c r="M23" s="49"/>
    </row>
    <row r="24" spans="1:13" s="48" customFormat="1" ht="31.5" customHeight="1" x14ac:dyDescent="0.2">
      <c r="A24" s="63">
        <v>3120204</v>
      </c>
      <c r="B24" s="70" t="s">
        <v>240</v>
      </c>
      <c r="C24" s="122">
        <v>112262000</v>
      </c>
      <c r="D24" s="122">
        <v>22452400</v>
      </c>
      <c r="E24" s="128">
        <f t="shared" si="7"/>
        <v>89809600</v>
      </c>
      <c r="F24" s="66">
        <f>'PLAN DE ADQUISICIONES 2016'!I43+'PLAN DE ADQUISICIONES 2016'!I45+'PLAN DE ADQUISICIONES 2016'!I46+'PLAN DE ADQUISICIONES 2016'!I47+'PLAN DE ADQUISICIONES 2016'!I48+'PLAN DE ADQUISICIONES 2016'!I49+'PLAN DE ADQUISICIONES 2016'!I50+'PLAN DE ADQUISICIONES 2016'!I51+'PLAN DE ADQUISICIONES 2016'!I73</f>
        <v>119818151</v>
      </c>
      <c r="G24" s="66">
        <f>'PLAN DE ADQUISICIONES 2016'!J43+'PLAN DE ADQUISICIONES 2016'!J45+'PLAN DE ADQUISICIONES 2016'!J46+'PLAN DE ADQUISICIONES 2016'!J47+'PLAN DE ADQUISICIONES 2016'!J48+'PLAN DE ADQUISICIONES 2016'!J49+'PLAN DE ADQUISICIONES 2016'!J50+'PLAN DE ADQUISICIONES 2016'!J51+'PLAN DE ADQUISICIONES 2016'!J73</f>
        <v>9618151</v>
      </c>
      <c r="H24" s="61"/>
      <c r="I24" s="46">
        <f>E24-G24-H24</f>
        <v>80191449</v>
      </c>
      <c r="J24" s="433">
        <f>C24-F24-H24</f>
        <v>-7556151</v>
      </c>
      <c r="K24" s="62">
        <v>13389938</v>
      </c>
      <c r="L24" s="60">
        <f>C24-K24</f>
        <v>98872062</v>
      </c>
      <c r="M24" s="49"/>
    </row>
    <row r="25" spans="1:13" s="42" customFormat="1" ht="31.5" x14ac:dyDescent="0.2">
      <c r="A25" s="71">
        <v>3120205</v>
      </c>
      <c r="B25" s="72" t="s">
        <v>241</v>
      </c>
      <c r="C25" s="73">
        <f t="shared" ref="C25:L25" si="10">SUM(C26)</f>
        <v>1668000000</v>
      </c>
      <c r="D25" s="73">
        <f t="shared" si="10"/>
        <v>333600000</v>
      </c>
      <c r="E25" s="73">
        <f t="shared" si="10"/>
        <v>1334400000</v>
      </c>
      <c r="F25" s="73">
        <f t="shared" si="10"/>
        <v>1129399645</v>
      </c>
      <c r="G25" s="73">
        <f>SUM(G26)</f>
        <v>0</v>
      </c>
      <c r="H25" s="73">
        <f>SUM(H26)</f>
        <v>307605681</v>
      </c>
      <c r="I25" s="73">
        <f t="shared" si="10"/>
        <v>1026794319</v>
      </c>
      <c r="J25" s="435">
        <f t="shared" si="10"/>
        <v>230994674</v>
      </c>
      <c r="K25" s="75">
        <f t="shared" si="10"/>
        <v>919624217</v>
      </c>
      <c r="L25" s="73">
        <f t="shared" si="10"/>
        <v>748375783</v>
      </c>
    </row>
    <row r="26" spans="1:13" s="48" customFormat="1" ht="17.25" customHeight="1" x14ac:dyDescent="0.2">
      <c r="A26" s="50">
        <v>312020501</v>
      </c>
      <c r="B26" s="51" t="s">
        <v>86</v>
      </c>
      <c r="C26" s="122">
        <v>1668000000</v>
      </c>
      <c r="D26" s="122">
        <v>333600000</v>
      </c>
      <c r="E26" s="122">
        <f t="shared" si="7"/>
        <v>1334400000</v>
      </c>
      <c r="F26" s="66">
        <f>'PLAN DE ADQUISICIONES 2016'!I29+'PLAN DE ADQUISICIONES 2016'!I30+'PLAN DE ADQUISICIONES 2016'!I56+'PLAN DE ADQUISICIONES 2016'!I67+'PLAN DE ADQUISICIONES 2016'!I74+'PLAN DE ADQUISICIONES 2016'!I76+'PLAN DE ADQUISICIONES 2016'!I77+'PLAN DE ADQUISICIONES 2016'!I78+'PLAN DE ADQUISICIONES 2016'!I105</f>
        <v>1129399645</v>
      </c>
      <c r="G26" s="66">
        <f>'PLAN DE ADQUISICIONES 2016'!J29+'PLAN DE ADQUISICIONES 2016'!J30+'PLAN DE ADQUISICIONES 2016'!J56+'PLAN DE ADQUISICIONES 2016'!J67+'PLAN DE ADQUISICIONES 2016'!J74+'PLAN DE ADQUISICIONES 2016'!J76+'PLAN DE ADQUISICIONES 2016'!J77+'PLAN DE ADQUISICIONES 2016'!J78+'PLAN DE ADQUISICIONES 2016'!J105</f>
        <v>0</v>
      </c>
      <c r="H26" s="65">
        <f>'ADICIONES A CONTRATOS'!H10</f>
        <v>307605681</v>
      </c>
      <c r="I26" s="65">
        <f>E26-G26-H26</f>
        <v>1026794319</v>
      </c>
      <c r="J26" s="433">
        <f>C26-F26-H26</f>
        <v>230994674</v>
      </c>
      <c r="K26" s="62">
        <v>919624217</v>
      </c>
      <c r="L26" s="60">
        <f>C26-K26</f>
        <v>748375783</v>
      </c>
      <c r="M26" s="49"/>
    </row>
    <row r="27" spans="1:13" s="42" customFormat="1" ht="15.75" x14ac:dyDescent="0.2">
      <c r="A27" s="71">
        <v>3120206</v>
      </c>
      <c r="B27" s="72" t="s">
        <v>242</v>
      </c>
      <c r="C27" s="73">
        <f t="shared" ref="C27:L27" si="11">SUM(C28)</f>
        <v>500000000</v>
      </c>
      <c r="D27" s="73">
        <f t="shared" si="11"/>
        <v>0</v>
      </c>
      <c r="E27" s="73">
        <f t="shared" si="11"/>
        <v>500000000</v>
      </c>
      <c r="F27" s="73">
        <f t="shared" si="11"/>
        <v>400000000</v>
      </c>
      <c r="G27" s="73">
        <f>SUM(G28)</f>
        <v>0</v>
      </c>
      <c r="H27" s="73">
        <f>SUM(H28)</f>
        <v>0</v>
      </c>
      <c r="I27" s="73">
        <f t="shared" si="11"/>
        <v>500000000</v>
      </c>
      <c r="J27" s="435">
        <f t="shared" si="11"/>
        <v>100000000</v>
      </c>
      <c r="K27" s="75">
        <f t="shared" si="11"/>
        <v>500000000</v>
      </c>
      <c r="L27" s="73">
        <f t="shared" si="11"/>
        <v>0</v>
      </c>
    </row>
    <row r="28" spans="1:13" s="48" customFormat="1" ht="15.75" customHeight="1" x14ac:dyDescent="0.2">
      <c r="A28" s="44">
        <v>312020601</v>
      </c>
      <c r="B28" s="51" t="s">
        <v>139</v>
      </c>
      <c r="C28" s="122">
        <v>500000000</v>
      </c>
      <c r="D28" s="122"/>
      <c r="E28" s="122">
        <f t="shared" si="7"/>
        <v>500000000</v>
      </c>
      <c r="F28" s="65">
        <f>'PLAN DE ADQUISICIONES 2016'!I58+'PLAN DE ADQUISICIONES 2016'!I59</f>
        <v>400000000</v>
      </c>
      <c r="G28" s="65">
        <f>'PLAN DE ADQUISICIONES 2016'!J58+'PLAN DE ADQUISICIONES 2016'!J59</f>
        <v>0</v>
      </c>
      <c r="H28" s="65"/>
      <c r="I28" s="65">
        <f>E28-G28-H28</f>
        <v>500000000</v>
      </c>
      <c r="J28" s="433">
        <f>C28-F28-H28</f>
        <v>100000000</v>
      </c>
      <c r="K28" s="62">
        <v>500000000</v>
      </c>
      <c r="L28" s="60">
        <f>C28-K28</f>
        <v>0</v>
      </c>
      <c r="M28" s="49"/>
    </row>
    <row r="29" spans="1:13" s="42" customFormat="1" ht="15.75" x14ac:dyDescent="0.2">
      <c r="A29" s="71">
        <v>3120209</v>
      </c>
      <c r="B29" s="72" t="s">
        <v>243</v>
      </c>
      <c r="C29" s="76">
        <f t="shared" ref="C29:L29" si="12">SUM(C30:C31)</f>
        <v>485000000</v>
      </c>
      <c r="D29" s="76">
        <f t="shared" ref="D29:E29" si="13">SUM(D30:D31)</f>
        <v>166750000</v>
      </c>
      <c r="E29" s="76">
        <f t="shared" si="13"/>
        <v>318250000</v>
      </c>
      <c r="F29" s="76">
        <f t="shared" si="12"/>
        <v>276250000</v>
      </c>
      <c r="G29" s="76">
        <f>SUM(G30:G31)</f>
        <v>0</v>
      </c>
      <c r="H29" s="76">
        <f>SUM(H30:H31)</f>
        <v>0</v>
      </c>
      <c r="I29" s="76">
        <f t="shared" si="12"/>
        <v>318250000</v>
      </c>
      <c r="J29" s="77">
        <f t="shared" si="12"/>
        <v>208750000</v>
      </c>
      <c r="K29" s="74">
        <f t="shared" si="12"/>
        <v>318250000</v>
      </c>
      <c r="L29" s="76">
        <f t="shared" si="12"/>
        <v>166750000</v>
      </c>
    </row>
    <row r="30" spans="1:13" s="48" customFormat="1" ht="14.25" customHeight="1" x14ac:dyDescent="0.2">
      <c r="A30" s="44">
        <v>312020901</v>
      </c>
      <c r="B30" s="45" t="s">
        <v>97</v>
      </c>
      <c r="C30" s="120">
        <v>425000000</v>
      </c>
      <c r="D30" s="120">
        <f>0.35*C30</f>
        <v>148750000</v>
      </c>
      <c r="E30" s="128">
        <f t="shared" si="7"/>
        <v>276250000</v>
      </c>
      <c r="F30" s="57">
        <f>'PLAN DE ADQUISICIONES 2016'!I31+'PLAN DE ADQUISICIONES 2016'!I32</f>
        <v>276250000</v>
      </c>
      <c r="G30" s="57">
        <f>'PLAN DE ADQUISICIONES 2016'!J31+'PLAN DE ADQUISICIONES 2016'!J32</f>
        <v>0</v>
      </c>
      <c r="H30" s="61">
        <v>0</v>
      </c>
      <c r="I30" s="46">
        <f>E30-G30-H30</f>
        <v>276250000</v>
      </c>
      <c r="J30" s="433">
        <f>C30-F30-H30</f>
        <v>148750000</v>
      </c>
      <c r="K30" s="62">
        <v>276250000</v>
      </c>
      <c r="L30" s="60">
        <f>C30-K30</f>
        <v>148750000</v>
      </c>
      <c r="M30" s="49"/>
    </row>
    <row r="31" spans="1:13" s="48" customFormat="1" ht="14.25" customHeight="1" x14ac:dyDescent="0.2">
      <c r="A31" s="44">
        <v>312020902</v>
      </c>
      <c r="B31" s="51" t="s">
        <v>94</v>
      </c>
      <c r="C31" s="121">
        <v>60000000</v>
      </c>
      <c r="D31" s="121">
        <f>0.3*C31</f>
        <v>18000000</v>
      </c>
      <c r="E31" s="128">
        <f t="shared" si="7"/>
        <v>42000000</v>
      </c>
      <c r="F31" s="60">
        <v>0</v>
      </c>
      <c r="G31" s="60">
        <v>0</v>
      </c>
      <c r="H31" s="61">
        <v>0</v>
      </c>
      <c r="I31" s="46">
        <f>E31-G31-H31</f>
        <v>42000000</v>
      </c>
      <c r="J31" s="433">
        <f>C31-F31-H31</f>
        <v>60000000</v>
      </c>
      <c r="K31" s="62">
        <v>42000000</v>
      </c>
      <c r="L31" s="60">
        <f>C31-K31</f>
        <v>18000000</v>
      </c>
      <c r="M31" s="49"/>
    </row>
    <row r="32" spans="1:13" s="48" customFormat="1" ht="14.25" customHeight="1" x14ac:dyDescent="0.2">
      <c r="A32" s="44">
        <v>3120210</v>
      </c>
      <c r="B32" s="51" t="s">
        <v>244</v>
      </c>
      <c r="C32" s="121">
        <v>614327000</v>
      </c>
      <c r="D32" s="121">
        <f>0.24*C32</f>
        <v>147438480</v>
      </c>
      <c r="E32" s="128">
        <f t="shared" si="7"/>
        <v>466888520</v>
      </c>
      <c r="F32" s="60">
        <f>'PLAN DE ADQUISICIONES 2016'!I10+'PLAN DE ADQUISICIONES 2016'!I11+'PLAN DE ADQUISICIONES 2016'!I12+'PLAN DE ADQUISICIONES 2016'!I13+'PLAN DE ADQUISICIONES 2016'!I14+'PLAN DE ADQUISICIONES 2016'!I15+'PLAN DE ADQUISICIONES 2016'!I16+'PLAN DE ADQUISICIONES 2016'!I17+'PLAN DE ADQUISICIONES 2016'!I18+'PLAN DE ADQUISICIONES 2016'!I19+'PLAN DE ADQUISICIONES 2016'!I20</f>
        <v>491484059</v>
      </c>
      <c r="G32" s="60">
        <f>'PLAN DE ADQUISICIONES 2016'!J10+'PLAN DE ADQUISICIONES 2016'!J11+'PLAN DE ADQUISICIONES 2016'!J12+'PLAN DE ADQUISICIONES 2016'!J13+'PLAN DE ADQUISICIONES 2016'!J14+'PLAN DE ADQUISICIONES 2016'!J15+'PLAN DE ADQUISICIONES 2016'!J16+'PLAN DE ADQUISICIONES 2016'!J17+'PLAN DE ADQUISICIONES 2016'!J18+'PLAN DE ADQUISICIONES 2016'!J19+'PLAN DE ADQUISICIONES 2016'!J20</f>
        <v>0</v>
      </c>
      <c r="H32" s="61">
        <v>0</v>
      </c>
      <c r="I32" s="46">
        <f>E32-G32-H32</f>
        <v>466888520</v>
      </c>
      <c r="J32" s="433">
        <f>C32-F32-H32</f>
        <v>122842941</v>
      </c>
      <c r="K32" s="62">
        <v>307292941</v>
      </c>
      <c r="L32" s="60">
        <f>C32-K32</f>
        <v>307034059</v>
      </c>
      <c r="M32" s="49"/>
    </row>
    <row r="33" spans="1:15" s="48" customFormat="1" ht="14.25" customHeight="1" x14ac:dyDescent="0.2">
      <c r="A33" s="44">
        <v>3120211</v>
      </c>
      <c r="B33" s="51" t="s">
        <v>113</v>
      </c>
      <c r="C33" s="60">
        <v>0</v>
      </c>
      <c r="D33" s="60"/>
      <c r="E33" s="128">
        <f t="shared" si="7"/>
        <v>0</v>
      </c>
      <c r="F33" s="60">
        <v>0</v>
      </c>
      <c r="G33" s="60">
        <v>0</v>
      </c>
      <c r="H33" s="57">
        <v>0</v>
      </c>
      <c r="I33" s="46">
        <f>E33-G33-H33</f>
        <v>0</v>
      </c>
      <c r="J33" s="433">
        <f>C33-F33-H33</f>
        <v>0</v>
      </c>
      <c r="K33" s="62">
        <v>0</v>
      </c>
      <c r="L33" s="60">
        <f>C33-K33</f>
        <v>0</v>
      </c>
      <c r="M33" s="49"/>
    </row>
    <row r="34" spans="1:15" s="48" customFormat="1" ht="18.75" customHeight="1" thickBot="1" x14ac:dyDescent="0.25">
      <c r="A34" s="63">
        <v>3120212</v>
      </c>
      <c r="B34" s="64" t="s">
        <v>64</v>
      </c>
      <c r="C34" s="122">
        <v>166618000</v>
      </c>
      <c r="D34" s="122">
        <f>0.3*C34</f>
        <v>49985400</v>
      </c>
      <c r="E34" s="128">
        <f t="shared" si="7"/>
        <v>116632600</v>
      </c>
      <c r="F34" s="65">
        <f>'PLAN DE ADQUISICIONES 2016'!I21+'PLAN DE ADQUISICIONES 2016'!I22+'PLAN DE ADQUISICIONES 2016'!I23+'PLAN DE ADQUISICIONES 2016'!I24+'PLAN DE ADQUISICIONES 2016'!I25+'PLAN DE ADQUISICIONES 2016'!I26+'PLAN DE ADQUISICIONES 2016'!I27+'PLAN DE ADQUISICIONES 2016'!I28</f>
        <v>153286490</v>
      </c>
      <c r="G34" s="65">
        <f>'PLAN DE ADQUISICIONES 2016'!J21+'PLAN DE ADQUISICIONES 2016'!J22+'PLAN DE ADQUISICIONES 2016'!J23+'PLAN DE ADQUISICIONES 2016'!J24+'PLAN DE ADQUISICIONES 2016'!J25+'PLAN DE ADQUISICIONES 2016'!J26+'PLAN DE ADQUISICIONES 2016'!J27+'PLAN DE ADQUISICIONES 2016'!J28</f>
        <v>56261060</v>
      </c>
      <c r="H34" s="61">
        <v>0</v>
      </c>
      <c r="I34" s="46">
        <f>E34-G34-H34</f>
        <v>60371540</v>
      </c>
      <c r="J34" s="433">
        <f>C34-F34-H34</f>
        <v>13331510</v>
      </c>
      <c r="K34" s="67">
        <v>59486895</v>
      </c>
      <c r="L34" s="65">
        <f>C34-K34</f>
        <v>107131105</v>
      </c>
      <c r="M34" s="49"/>
    </row>
    <row r="35" spans="1:15" s="42" customFormat="1" ht="35.25" customHeight="1" thickBot="1" x14ac:dyDescent="0.25">
      <c r="A35" s="78">
        <v>3120213</v>
      </c>
      <c r="B35" s="79" t="s">
        <v>245</v>
      </c>
      <c r="C35" s="53">
        <f t="shared" ref="C35:L35" si="14">SUM(C36)</f>
        <v>11000000</v>
      </c>
      <c r="D35" s="53">
        <f t="shared" si="14"/>
        <v>2200000</v>
      </c>
      <c r="E35" s="53">
        <f t="shared" si="14"/>
        <v>8800000</v>
      </c>
      <c r="F35" s="53">
        <f t="shared" si="14"/>
        <v>0</v>
      </c>
      <c r="G35" s="53">
        <f>SUM(G36)</f>
        <v>0</v>
      </c>
      <c r="H35" s="53">
        <f>SUM(H36)</f>
        <v>0</v>
      </c>
      <c r="I35" s="53">
        <f t="shared" si="14"/>
        <v>8800000</v>
      </c>
      <c r="J35" s="55">
        <f t="shared" si="14"/>
        <v>11000000</v>
      </c>
      <c r="K35" s="56">
        <f t="shared" si="14"/>
        <v>8800000</v>
      </c>
      <c r="L35" s="53">
        <f t="shared" si="14"/>
        <v>2200000</v>
      </c>
    </row>
    <row r="36" spans="1:15" s="48" customFormat="1" ht="30" x14ac:dyDescent="0.2">
      <c r="A36" s="80">
        <v>312021399</v>
      </c>
      <c r="B36" s="81" t="s">
        <v>245</v>
      </c>
      <c r="C36" s="120">
        <v>11000000</v>
      </c>
      <c r="D36" s="120">
        <v>2200000</v>
      </c>
      <c r="E36" s="128">
        <f t="shared" si="7"/>
        <v>8800000</v>
      </c>
      <c r="F36" s="57">
        <v>0</v>
      </c>
      <c r="G36" s="57">
        <v>0</v>
      </c>
      <c r="H36" s="57"/>
      <c r="I36" s="46">
        <f>E36-G36-H36</f>
        <v>8800000</v>
      </c>
      <c r="J36" s="433">
        <f>C36-F36-H36</f>
        <v>11000000</v>
      </c>
      <c r="K36" s="59">
        <v>8800000</v>
      </c>
      <c r="L36" s="57">
        <f>C36-K36</f>
        <v>2200000</v>
      </c>
      <c r="M36" s="49"/>
    </row>
    <row r="37" spans="1:15" s="48" customFormat="1" ht="18" customHeight="1" x14ac:dyDescent="0.2">
      <c r="A37" s="44">
        <v>3120217</v>
      </c>
      <c r="B37" s="51" t="s">
        <v>116</v>
      </c>
      <c r="C37" s="121">
        <v>100000000</v>
      </c>
      <c r="D37" s="121">
        <v>20000000</v>
      </c>
      <c r="E37" s="128">
        <f t="shared" si="7"/>
        <v>80000000</v>
      </c>
      <c r="F37" s="60">
        <f>'PLAN DE ADQUISICIONES 2016'!I44</f>
        <v>80000000</v>
      </c>
      <c r="G37" s="60">
        <f>'PLAN DE ADQUISICIONES 2016'!J44</f>
        <v>0</v>
      </c>
      <c r="H37" s="57">
        <v>0</v>
      </c>
      <c r="I37" s="46">
        <f>E37-G37-H37</f>
        <v>80000000</v>
      </c>
      <c r="J37" s="433">
        <f>C37-F37-H37</f>
        <v>20000000</v>
      </c>
      <c r="K37" s="62">
        <v>80000000</v>
      </c>
      <c r="L37" s="60">
        <f>C37-K37</f>
        <v>20000000</v>
      </c>
      <c r="M37" s="49"/>
    </row>
    <row r="38" spans="1:15" s="48" customFormat="1" ht="18" customHeight="1" thickBot="1" x14ac:dyDescent="0.25">
      <c r="A38" s="63">
        <v>3120218</v>
      </c>
      <c r="B38" s="64" t="s">
        <v>246</v>
      </c>
      <c r="C38" s="122">
        <v>0</v>
      </c>
      <c r="D38" s="122"/>
      <c r="E38" s="128">
        <f t="shared" si="7"/>
        <v>0</v>
      </c>
      <c r="F38" s="66">
        <v>0</v>
      </c>
      <c r="G38" s="66">
        <v>0</v>
      </c>
      <c r="H38" s="57">
        <v>0</v>
      </c>
      <c r="I38" s="46">
        <f>E38-G38-H38</f>
        <v>0</v>
      </c>
      <c r="J38" s="433">
        <f>C38-F38-H38</f>
        <v>0</v>
      </c>
      <c r="K38" s="67">
        <v>0</v>
      </c>
      <c r="L38" s="65">
        <f>C38-K38</f>
        <v>0</v>
      </c>
      <c r="M38" s="49"/>
    </row>
    <row r="39" spans="1:15" s="42" customFormat="1" ht="30.75" customHeight="1" thickBot="1" x14ac:dyDescent="0.25">
      <c r="A39" s="40">
        <v>31203</v>
      </c>
      <c r="B39" s="52" t="s">
        <v>247</v>
      </c>
      <c r="C39" s="53">
        <f t="shared" ref="C39:L39" si="15">SUM(C40)</f>
        <v>39640000</v>
      </c>
      <c r="D39" s="53">
        <f t="shared" si="15"/>
        <v>3928000</v>
      </c>
      <c r="E39" s="53">
        <f t="shared" si="15"/>
        <v>35712000</v>
      </c>
      <c r="F39" s="53">
        <f t="shared" si="15"/>
        <v>0</v>
      </c>
      <c r="G39" s="53">
        <f>SUM(G40)</f>
        <v>0</v>
      </c>
      <c r="H39" s="53">
        <f>SUM(H40)</f>
        <v>0</v>
      </c>
      <c r="I39" s="53">
        <f t="shared" si="15"/>
        <v>35712000</v>
      </c>
      <c r="J39" s="55">
        <f t="shared" si="15"/>
        <v>39640000</v>
      </c>
      <c r="K39" s="56">
        <f t="shared" si="15"/>
        <v>8510000</v>
      </c>
      <c r="L39" s="53">
        <f t="shared" si="15"/>
        <v>31130000</v>
      </c>
    </row>
    <row r="40" spans="1:15" s="48" customFormat="1" ht="48.75" customHeight="1" thickBot="1" x14ac:dyDescent="0.25">
      <c r="A40" s="69">
        <v>3120302</v>
      </c>
      <c r="B40" s="51" t="s">
        <v>486</v>
      </c>
      <c r="C40" s="123">
        <v>39640000</v>
      </c>
      <c r="D40" s="123">
        <v>3928000</v>
      </c>
      <c r="E40" s="123">
        <f t="shared" si="7"/>
        <v>35712000</v>
      </c>
      <c r="F40" s="123">
        <v>0</v>
      </c>
      <c r="G40" s="123">
        <v>0</v>
      </c>
      <c r="H40" s="57">
        <v>0</v>
      </c>
      <c r="I40" s="46">
        <f>E40-G40-H40</f>
        <v>35712000</v>
      </c>
      <c r="J40" s="433">
        <f>C40-F40-H40</f>
        <v>39640000</v>
      </c>
      <c r="K40" s="62">
        <v>8510000</v>
      </c>
      <c r="L40" s="60">
        <f>C40-K40</f>
        <v>31130000</v>
      </c>
    </row>
    <row r="41" spans="1:15" s="42" customFormat="1" ht="16.5" thickBot="1" x14ac:dyDescent="0.25">
      <c r="A41" s="82">
        <v>33</v>
      </c>
      <c r="B41" s="83" t="s">
        <v>248</v>
      </c>
      <c r="C41" s="84">
        <f t="shared" ref="C41:L41" si="16">SUM(C42:C43)</f>
        <v>8111000000</v>
      </c>
      <c r="D41" s="84">
        <f t="shared" ref="D41:E41" si="17">SUM(D42:D43)</f>
        <v>4943000000</v>
      </c>
      <c r="E41" s="84">
        <f t="shared" si="17"/>
        <v>3168000000</v>
      </c>
      <c r="F41" s="84">
        <f t="shared" si="16"/>
        <v>3168000000</v>
      </c>
      <c r="G41" s="84">
        <f>SUM(G42:G43)</f>
        <v>119331400</v>
      </c>
      <c r="H41" s="85">
        <f>SUM(H42:H43)</f>
        <v>0</v>
      </c>
      <c r="I41" s="85">
        <f t="shared" si="16"/>
        <v>3048668600</v>
      </c>
      <c r="J41" s="86">
        <f t="shared" si="16"/>
        <v>4943000000</v>
      </c>
      <c r="K41" s="87">
        <f t="shared" si="16"/>
        <v>2899036000</v>
      </c>
      <c r="L41" s="85">
        <f t="shared" si="16"/>
        <v>5211964000</v>
      </c>
    </row>
    <row r="42" spans="1:15" s="48" customFormat="1" ht="30" x14ac:dyDescent="0.2">
      <c r="A42" s="88" t="s">
        <v>146</v>
      </c>
      <c r="B42" s="45" t="s">
        <v>249</v>
      </c>
      <c r="C42" s="120">
        <v>1190000000</v>
      </c>
      <c r="D42" s="120">
        <v>434200000</v>
      </c>
      <c r="E42" s="128">
        <f t="shared" si="7"/>
        <v>755800000</v>
      </c>
      <c r="F42" s="58">
        <f>'PLAN DE ADQUISICIONES 2016'!I8+'PLAN DE ADQUISICIONES 2016'!I52+'PLAN DE ADQUISICIONES 2016'!I53+'PLAN DE ADQUISICIONES 2016'!I60</f>
        <v>755800000</v>
      </c>
      <c r="G42" s="58">
        <f>'PLAN DE ADQUISICIONES 2016'!J8+'PLAN DE ADQUISICIONES 2016'!J52+'PLAN DE ADQUISICIONES 2016'!J60</f>
        <v>0</v>
      </c>
      <c r="H42" s="57">
        <v>0</v>
      </c>
      <c r="I42" s="46">
        <f>E42-G42-H42</f>
        <v>755800000</v>
      </c>
      <c r="J42" s="433">
        <f>C42-F42-H42</f>
        <v>434200000</v>
      </c>
      <c r="K42" s="62">
        <v>626768000</v>
      </c>
      <c r="L42" s="60">
        <f>C42-K42</f>
        <v>563232000</v>
      </c>
      <c r="M42" s="49"/>
    </row>
    <row r="43" spans="1:15" s="48" customFormat="1" ht="62.25" customHeight="1" thickBot="1" x14ac:dyDescent="0.25">
      <c r="A43" s="89" t="s">
        <v>100</v>
      </c>
      <c r="B43" s="90" t="s">
        <v>101</v>
      </c>
      <c r="C43" s="120">
        <v>6921000000</v>
      </c>
      <c r="D43" s="120">
        <v>4508800000</v>
      </c>
      <c r="E43" s="128">
        <f t="shared" si="7"/>
        <v>2412200000</v>
      </c>
      <c r="F43" s="66">
        <f>'PLAN DE ADQUISICIONES 2016'!I34+'PLAN DE ADQUISICIONES 2016'!I35+'PLAN DE ADQUISICIONES 2016'!I36+'PLAN DE ADQUISICIONES 2016'!I37+'PLAN DE ADQUISICIONES 2016'!I38+'PLAN DE ADQUISICIONES 2016'!I39+'PLAN DE ADQUISICIONES 2016'!I40+'PLAN DE ADQUISICIONES 2016'!I41+'PLAN DE ADQUISICIONES 2016'!I80+'PLAN DE ADQUISICIONES 2016'!I81+'PLAN DE ADQUISICIONES 2016'!I82+'PLAN DE ADQUISICIONES 2016'!I83+'PLAN DE ADQUISICIONES 2016'!I84+'PLAN DE ADQUISICIONES 2016'!I85+'PLAN DE ADQUISICIONES 2016'!I86+'PLAN DE ADQUISICIONES 2016'!I87+'PLAN DE ADQUISICIONES 2016'!I88+'PLAN DE ADQUISICIONES 2016'!I89+'PLAN DE ADQUISICIONES 2016'!I90+'PLAN DE ADQUISICIONES 2016'!I91+'PLAN DE ADQUISICIONES 2016'!I92+'PLAN DE ADQUISICIONES 2016'!I93+'PLAN DE ADQUISICIONES 2016'!I94+'PLAN DE ADQUISICIONES 2016'!I95+'PLAN DE ADQUISICIONES 2016'!I96+'PLAN DE ADQUISICIONES 2016'!I97+'PLAN DE ADQUISICIONES 2016'!I98+'PLAN DE ADQUISICIONES 2016'!I99+'PLAN DE ADQUISICIONES 2016'!I100+'PLAN DE ADQUISICIONES 2016'!I101+'PLAN DE ADQUISICIONES 2016'!I102+'PLAN DE ADQUISICIONES 2016'!I103+'PLAN DE ADQUISICIONES 2016'!I104+'PLAN DE ADQUISICIONES 2016'!I106+'PLAN DE ADQUISICIONES 2016'!I107+'PLAN DE ADQUISICIONES 2016'!I108</f>
        <v>2412200000</v>
      </c>
      <c r="G43" s="66">
        <f>'PLAN DE ADQUISICIONES 2016'!J34+'PLAN DE ADQUISICIONES 2016'!J35+'PLAN DE ADQUISICIONES 2016'!J36+'PLAN DE ADQUISICIONES 2016'!J37+'PLAN DE ADQUISICIONES 2016'!J38+'PLAN DE ADQUISICIONES 2016'!J39+'PLAN DE ADQUISICIONES 2016'!J40+'PLAN DE ADQUISICIONES 2016'!J41+'PLAN DE ADQUISICIONES 2016'!J80+'PLAN DE ADQUISICIONES 2016'!J81+'PLAN DE ADQUISICIONES 2016'!J82+'PLAN DE ADQUISICIONES 2016'!J83+'PLAN DE ADQUISICIONES 2016'!J84+'PLAN DE ADQUISICIONES 2016'!J85+'PLAN DE ADQUISICIONES 2016'!J86+'PLAN DE ADQUISICIONES 2016'!J87+'PLAN DE ADQUISICIONES 2016'!J88+'PLAN DE ADQUISICIONES 2016'!J89+'PLAN DE ADQUISICIONES 2016'!J90+'PLAN DE ADQUISICIONES 2016'!J91+'PLAN DE ADQUISICIONES 2016'!J92+'PLAN DE ADQUISICIONES 2016'!J93+'PLAN DE ADQUISICIONES 2016'!J94+'PLAN DE ADQUISICIONES 2016'!J95+'PLAN DE ADQUISICIONES 2016'!J96+'PLAN DE ADQUISICIONES 2016'!J97+'PLAN DE ADQUISICIONES 2016'!J98+'PLAN DE ADQUISICIONES 2016'!J99+'PLAN DE ADQUISICIONES 2016'!J100+'PLAN DE ADQUISICIONES 2016'!J101+'PLAN DE ADQUISICIONES 2016'!J102+'PLAN DE ADQUISICIONES 2016'!J103+'PLAN DE ADQUISICIONES 2016'!J104+'PLAN DE ADQUISICIONES 2016'!J106+'PLAN DE ADQUISICIONES 2016'!J107+'PLAN DE ADQUISICIONES 2016'!J108</f>
        <v>119331400</v>
      </c>
      <c r="H43" s="57">
        <v>0</v>
      </c>
      <c r="I43" s="46">
        <f>E43-G43-H43</f>
        <v>2292868600</v>
      </c>
      <c r="J43" s="433">
        <f>C43-F43-H43</f>
        <v>4508800000</v>
      </c>
      <c r="K43" s="67">
        <v>2272268000</v>
      </c>
      <c r="L43" s="60">
        <f>C43-K43</f>
        <v>4648732000</v>
      </c>
      <c r="M43" s="49"/>
    </row>
    <row r="44" spans="1:15" s="42" customFormat="1" ht="48.75" customHeight="1" thickBot="1" x14ac:dyDescent="0.25">
      <c r="A44" s="392"/>
      <c r="B44" s="393" t="s">
        <v>250</v>
      </c>
      <c r="C44" s="91">
        <f t="shared" ref="C44:L44" si="18">SUM(C10:C43)-(C41+C39+C35+C29+C27+C25+C20+C14+C13+C10)</f>
        <v>13615440000</v>
      </c>
      <c r="D44" s="91">
        <f t="shared" ref="D44:E44" si="19">SUM(D10:D43)-(D41+D39+D35+D29+D27+D25+D20+D14+D13+D10)</f>
        <v>6035872880</v>
      </c>
      <c r="E44" s="91">
        <f t="shared" si="19"/>
        <v>7579567120</v>
      </c>
      <c r="F44" s="91">
        <f>SUM(F10:F43)-(F41+F39+F35+F29+F27+F25+F20+F14+F13+F10)</f>
        <v>7009256234</v>
      </c>
      <c r="G44" s="91">
        <f>SUM(G10:G43)-(G41+G39+G35+G29+G27+G25+G20+G14+G13+G10)</f>
        <v>423855481</v>
      </c>
      <c r="H44" s="91">
        <f>SUM(H10:H43)-(H41+H39+H35+H29+H27+H25+H20+H14+H13+H10)</f>
        <v>357025681</v>
      </c>
      <c r="I44" s="91">
        <f t="shared" si="18"/>
        <v>6798685958</v>
      </c>
      <c r="J44" s="436">
        <f t="shared" si="18"/>
        <v>6249158085</v>
      </c>
      <c r="K44" s="440">
        <f>SUM(K10:K43)-(K41+K39+K35+K29+K27+K25+K20+K14+K13+K10)</f>
        <v>6143057382</v>
      </c>
      <c r="L44" s="439">
        <f t="shared" si="18"/>
        <v>7472382618</v>
      </c>
      <c r="M44" s="394"/>
      <c r="N44" s="455"/>
      <c r="O44" s="456"/>
    </row>
    <row r="45" spans="1:15" ht="11.25" customHeight="1" x14ac:dyDescent="0.2">
      <c r="A45" s="92"/>
      <c r="B45" s="32"/>
      <c r="C45" s="93"/>
      <c r="D45" s="93"/>
      <c r="E45" s="93"/>
      <c r="F45" s="94"/>
      <c r="G45" s="94"/>
      <c r="H45" s="94"/>
      <c r="I45" s="32"/>
      <c r="J45" s="94"/>
      <c r="K45" s="33"/>
      <c r="L45" s="378"/>
    </row>
    <row r="46" spans="1:15" ht="38.25" x14ac:dyDescent="0.2">
      <c r="A46" s="95"/>
      <c r="B46" s="96"/>
      <c r="C46" s="97" t="s">
        <v>251</v>
      </c>
      <c r="D46" s="97"/>
      <c r="E46" s="97"/>
      <c r="F46" s="98">
        <f>F44</f>
        <v>7009256234</v>
      </c>
      <c r="G46" s="395"/>
      <c r="H46" s="395"/>
      <c r="I46" s="100"/>
      <c r="J46" s="100"/>
      <c r="K46" s="101"/>
      <c r="L46" s="101"/>
      <c r="M46" s="102"/>
    </row>
    <row r="47" spans="1:15" x14ac:dyDescent="0.2">
      <c r="A47" s="95"/>
      <c r="B47" s="96"/>
      <c r="C47" s="103" t="s">
        <v>252</v>
      </c>
      <c r="D47" s="103"/>
      <c r="E47" s="103"/>
      <c r="F47" s="103">
        <f>F46-F48</f>
        <v>3841256234</v>
      </c>
      <c r="G47" s="99"/>
      <c r="H47" s="99"/>
      <c r="I47" s="99"/>
      <c r="J47" s="100"/>
      <c r="K47" s="101"/>
      <c r="L47" s="101"/>
    </row>
    <row r="48" spans="1:15" ht="13.5" thickBot="1" x14ac:dyDescent="0.25">
      <c r="A48" s="104"/>
      <c r="B48" s="105"/>
      <c r="C48" s="106" t="s">
        <v>248</v>
      </c>
      <c r="D48" s="106"/>
      <c r="E48" s="106"/>
      <c r="F48" s="106">
        <f>F41</f>
        <v>3168000000</v>
      </c>
      <c r="G48" s="107"/>
      <c r="H48" s="107"/>
      <c r="I48" s="107"/>
      <c r="J48" s="107"/>
      <c r="K48" s="108"/>
      <c r="L48" s="108"/>
    </row>
    <row r="49" spans="1:13" s="36" customFormat="1" ht="16.5" customHeight="1" x14ac:dyDescent="0.2">
      <c r="A49" s="110"/>
      <c r="B49" s="111"/>
      <c r="C49" s="111"/>
      <c r="D49" s="111"/>
      <c r="E49" s="111"/>
      <c r="F49" s="93"/>
      <c r="G49" s="93"/>
      <c r="H49" s="93"/>
      <c r="I49" s="93"/>
      <c r="J49" s="93"/>
      <c r="K49" s="112"/>
      <c r="L49" s="461"/>
      <c r="M49" s="95"/>
    </row>
    <row r="50" spans="1:13" x14ac:dyDescent="0.2">
      <c r="A50" s="95" t="s">
        <v>253</v>
      </c>
      <c r="B50" s="36"/>
      <c r="C50" s="36"/>
      <c r="D50" s="36"/>
      <c r="E50" s="36"/>
      <c r="F50" s="36"/>
      <c r="G50" s="36"/>
      <c r="H50" s="36"/>
      <c r="I50" s="113"/>
      <c r="J50" s="36"/>
      <c r="K50" s="36"/>
      <c r="L50" s="114"/>
      <c r="M50" s="95"/>
    </row>
    <row r="51" spans="1:13" x14ac:dyDescent="0.2">
      <c r="A51" s="115" t="s">
        <v>487</v>
      </c>
      <c r="B51" s="36"/>
      <c r="C51" s="36"/>
      <c r="D51" s="36"/>
      <c r="E51" s="36"/>
      <c r="F51" s="36"/>
      <c r="G51" s="36"/>
      <c r="H51" s="36"/>
      <c r="I51" s="36"/>
      <c r="J51" s="36"/>
      <c r="K51" s="36"/>
      <c r="L51" s="114"/>
      <c r="M51" s="95"/>
    </row>
    <row r="52" spans="1:13" s="34" customFormat="1" x14ac:dyDescent="0.2">
      <c r="A52" s="524" t="s">
        <v>254</v>
      </c>
      <c r="B52" s="525"/>
      <c r="C52" s="525"/>
      <c r="D52" s="525"/>
      <c r="E52" s="525"/>
      <c r="F52" s="525"/>
      <c r="G52" s="525"/>
      <c r="H52" s="525"/>
      <c r="I52" s="525"/>
      <c r="J52" s="525"/>
      <c r="K52" s="525"/>
      <c r="L52" s="526"/>
      <c r="M52" s="446"/>
    </row>
    <row r="53" spans="1:13" s="34" customFormat="1" x14ac:dyDescent="0.2">
      <c r="A53" s="524" t="s">
        <v>609</v>
      </c>
      <c r="B53" s="525"/>
      <c r="C53" s="525"/>
      <c r="D53" s="525"/>
      <c r="E53" s="525"/>
      <c r="F53" s="525"/>
      <c r="G53" s="525"/>
      <c r="H53" s="525"/>
      <c r="I53" s="525"/>
      <c r="J53" s="525"/>
      <c r="K53" s="525"/>
      <c r="L53" s="526"/>
      <c r="M53" s="446"/>
    </row>
    <row r="54" spans="1:13" ht="13.5" thickBot="1" x14ac:dyDescent="0.25">
      <c r="A54" s="116"/>
      <c r="B54" s="117"/>
      <c r="C54" s="118"/>
      <c r="D54" s="118"/>
      <c r="E54" s="118"/>
      <c r="F54" s="117"/>
      <c r="G54" s="117"/>
      <c r="H54" s="117"/>
      <c r="I54" s="117"/>
      <c r="J54" s="117"/>
      <c r="K54" s="117"/>
      <c r="L54" s="462"/>
      <c r="M54" s="447"/>
    </row>
    <row r="55" spans="1:13" s="36" customFormat="1" x14ac:dyDescent="0.2">
      <c r="A55" s="458"/>
      <c r="B55" s="458"/>
      <c r="C55" s="459"/>
      <c r="D55" s="459"/>
      <c r="E55" s="459"/>
      <c r="F55" s="458"/>
      <c r="G55" s="458"/>
      <c r="H55" s="458"/>
      <c r="I55" s="458"/>
      <c r="J55" s="458"/>
      <c r="K55" s="458"/>
      <c r="L55" s="458"/>
      <c r="M55" s="460"/>
    </row>
    <row r="56" spans="1:13" s="36" customFormat="1" x14ac:dyDescent="0.2">
      <c r="A56" s="458"/>
      <c r="B56" s="458"/>
      <c r="C56" s="459"/>
      <c r="D56" s="459"/>
      <c r="E56" s="459"/>
      <c r="F56" s="458"/>
      <c r="G56" s="458"/>
      <c r="H56" s="458"/>
      <c r="I56" s="458"/>
      <c r="J56" s="458"/>
      <c r="K56" s="458"/>
      <c r="L56" s="458"/>
      <c r="M56" s="460"/>
    </row>
    <row r="57" spans="1:13" s="36" customFormat="1" x14ac:dyDescent="0.2">
      <c r="A57" s="458"/>
      <c r="B57" s="458"/>
      <c r="C57" s="459"/>
      <c r="D57" s="459"/>
      <c r="E57" s="459"/>
      <c r="F57" s="458"/>
      <c r="G57" s="458"/>
      <c r="H57" s="458"/>
      <c r="I57" s="458"/>
      <c r="J57" s="458"/>
      <c r="K57" s="458"/>
      <c r="L57" s="458"/>
      <c r="M57" s="460"/>
    </row>
    <row r="58" spans="1:13" s="36" customFormat="1" x14ac:dyDescent="0.2">
      <c r="A58" s="458"/>
      <c r="B58" s="458"/>
      <c r="C58" s="459"/>
      <c r="D58" s="459"/>
      <c r="E58" s="459"/>
      <c r="F58" s="458"/>
      <c r="G58" s="458"/>
      <c r="H58" s="458"/>
      <c r="I58" s="458"/>
      <c r="J58" s="458"/>
      <c r="K58" s="458"/>
      <c r="L58" s="458"/>
      <c r="M58" s="460"/>
    </row>
    <row r="59" spans="1:13" s="36" customFormat="1" x14ac:dyDescent="0.2">
      <c r="A59" s="458"/>
      <c r="B59" s="458"/>
      <c r="C59" s="459"/>
      <c r="D59" s="459"/>
      <c r="E59" s="459"/>
      <c r="F59" s="458"/>
      <c r="G59" s="458"/>
      <c r="H59" s="458"/>
      <c r="I59" s="458"/>
      <c r="J59" s="458"/>
      <c r="K59" s="458"/>
      <c r="L59" s="458"/>
      <c r="M59" s="460"/>
    </row>
    <row r="60" spans="1:13" s="36" customFormat="1" x14ac:dyDescent="0.2">
      <c r="A60" s="458"/>
      <c r="B60" s="458"/>
      <c r="C60" s="459"/>
      <c r="D60" s="459"/>
      <c r="E60" s="459"/>
      <c r="F60" s="458"/>
      <c r="G60" s="458"/>
      <c r="H60" s="458"/>
      <c r="I60" s="458"/>
      <c r="J60" s="458"/>
      <c r="K60" s="458"/>
      <c r="L60" s="458"/>
      <c r="M60" s="460"/>
    </row>
    <row r="61" spans="1:13" s="36" customFormat="1" x14ac:dyDescent="0.2">
      <c r="A61" s="458"/>
      <c r="B61" s="458"/>
      <c r="C61" s="459"/>
      <c r="D61" s="459"/>
      <c r="E61" s="459"/>
      <c r="F61" s="458"/>
      <c r="G61" s="458"/>
      <c r="H61" s="458"/>
      <c r="I61" s="458"/>
      <c r="J61" s="458"/>
      <c r="K61" s="458"/>
      <c r="L61" s="458"/>
      <c r="M61" s="460"/>
    </row>
    <row r="62" spans="1:13" s="36" customFormat="1" x14ac:dyDescent="0.2">
      <c r="A62" s="458"/>
      <c r="B62" s="458"/>
      <c r="C62" s="459"/>
      <c r="D62" s="459"/>
      <c r="E62" s="459"/>
      <c r="F62" s="458"/>
      <c r="G62" s="458"/>
      <c r="H62" s="458"/>
      <c r="I62" s="458"/>
      <c r="J62" s="458"/>
      <c r="K62" s="458"/>
      <c r="L62" s="458"/>
      <c r="M62" s="460"/>
    </row>
    <row r="63" spans="1:13" s="36" customFormat="1" x14ac:dyDescent="0.2">
      <c r="A63" s="458"/>
      <c r="B63" s="458"/>
      <c r="C63" s="459"/>
      <c r="D63" s="459"/>
      <c r="E63" s="459"/>
      <c r="F63" s="458"/>
      <c r="G63" s="458"/>
      <c r="H63" s="458"/>
      <c r="I63" s="458"/>
      <c r="J63" s="458"/>
      <c r="K63" s="458"/>
      <c r="L63" s="458"/>
      <c r="M63" s="460"/>
    </row>
    <row r="64" spans="1:13" s="36" customFormat="1" x14ac:dyDescent="0.2">
      <c r="A64" s="458"/>
      <c r="B64" s="458"/>
      <c r="C64" s="459"/>
      <c r="D64" s="459"/>
      <c r="E64" s="459"/>
      <c r="F64" s="458"/>
      <c r="G64" s="458"/>
      <c r="H64" s="458"/>
      <c r="I64" s="458"/>
      <c r="J64" s="458"/>
      <c r="K64" s="458"/>
      <c r="L64" s="458"/>
      <c r="M64" s="460"/>
    </row>
    <row r="65" spans="1:13" s="36" customFormat="1" x14ac:dyDescent="0.2">
      <c r="A65" s="458"/>
      <c r="B65" s="458"/>
      <c r="C65" s="459"/>
      <c r="D65" s="459"/>
      <c r="E65" s="459"/>
      <c r="F65" s="458"/>
      <c r="G65" s="458"/>
      <c r="H65" s="458"/>
      <c r="I65" s="458"/>
      <c r="J65" s="458"/>
      <c r="K65" s="458"/>
      <c r="L65" s="458"/>
      <c r="M65" s="460"/>
    </row>
    <row r="66" spans="1:13" s="36" customFormat="1" x14ac:dyDescent="0.2">
      <c r="A66" s="458"/>
      <c r="B66" s="458"/>
      <c r="C66" s="459"/>
      <c r="D66" s="459"/>
      <c r="E66" s="459"/>
      <c r="F66" s="458"/>
      <c r="G66" s="458"/>
      <c r="H66" s="458"/>
      <c r="I66" s="458"/>
      <c r="J66" s="458"/>
      <c r="K66" s="458"/>
      <c r="L66" s="458"/>
      <c r="M66" s="460"/>
    </row>
    <row r="67" spans="1:13" s="36" customFormat="1" x14ac:dyDescent="0.2">
      <c r="A67" s="458"/>
      <c r="B67" s="458"/>
      <c r="C67" s="459"/>
      <c r="D67" s="459"/>
      <c r="E67" s="459"/>
      <c r="F67" s="458"/>
      <c r="G67" s="458"/>
      <c r="H67" s="458"/>
      <c r="I67" s="458"/>
      <c r="J67" s="458"/>
      <c r="K67" s="458"/>
      <c r="L67" s="458"/>
      <c r="M67" s="460"/>
    </row>
    <row r="68" spans="1:13" s="36" customFormat="1" x14ac:dyDescent="0.2">
      <c r="A68" s="458"/>
      <c r="B68" s="458"/>
      <c r="C68" s="459"/>
      <c r="D68" s="459"/>
      <c r="E68" s="459"/>
      <c r="F68" s="458"/>
      <c r="G68" s="458"/>
      <c r="H68" s="458"/>
      <c r="I68" s="458"/>
      <c r="J68" s="458"/>
      <c r="K68" s="458"/>
      <c r="L68" s="458"/>
      <c r="M68" s="460"/>
    </row>
    <row r="69" spans="1:13" s="36" customFormat="1" x14ac:dyDescent="0.2">
      <c r="A69" s="458"/>
      <c r="B69" s="458"/>
      <c r="C69" s="459"/>
      <c r="D69" s="459"/>
      <c r="E69" s="459"/>
      <c r="F69" s="458"/>
      <c r="G69" s="458"/>
      <c r="H69" s="458"/>
      <c r="I69" s="458"/>
      <c r="J69" s="458"/>
      <c r="K69" s="458"/>
      <c r="L69" s="458"/>
      <c r="M69" s="460"/>
    </row>
    <row r="70" spans="1:13" s="36" customFormat="1" x14ac:dyDescent="0.2">
      <c r="A70" s="458"/>
      <c r="B70" s="458"/>
      <c r="C70" s="459"/>
      <c r="D70" s="459"/>
      <c r="E70" s="459"/>
      <c r="F70" s="458"/>
      <c r="G70" s="458"/>
      <c r="H70" s="458"/>
      <c r="I70" s="458"/>
      <c r="J70" s="458"/>
      <c r="K70" s="458"/>
      <c r="L70" s="458"/>
      <c r="M70" s="460"/>
    </row>
    <row r="71" spans="1:13" s="36" customFormat="1" x14ac:dyDescent="0.2">
      <c r="A71" s="458"/>
      <c r="B71" s="458"/>
      <c r="C71" s="459"/>
      <c r="D71" s="459"/>
      <c r="E71" s="459"/>
      <c r="F71" s="458"/>
      <c r="G71" s="458"/>
      <c r="H71" s="458"/>
      <c r="I71" s="458"/>
      <c r="J71" s="458"/>
      <c r="K71" s="458"/>
      <c r="L71" s="458"/>
      <c r="M71" s="460"/>
    </row>
    <row r="72" spans="1:13" s="36" customFormat="1" x14ac:dyDescent="0.2">
      <c r="A72" s="458"/>
      <c r="B72" s="458"/>
      <c r="C72" s="459"/>
      <c r="D72" s="459"/>
      <c r="E72" s="459"/>
      <c r="F72" s="458"/>
      <c r="G72" s="458"/>
      <c r="H72" s="458"/>
      <c r="I72" s="458"/>
      <c r="J72" s="458"/>
      <c r="K72" s="458"/>
      <c r="L72" s="458"/>
      <c r="M72" s="460"/>
    </row>
    <row r="73" spans="1:13" s="36" customFormat="1" x14ac:dyDescent="0.2">
      <c r="A73" s="458"/>
      <c r="B73" s="458"/>
      <c r="C73" s="459"/>
      <c r="D73" s="459"/>
      <c r="E73" s="459"/>
      <c r="F73" s="458"/>
      <c r="G73" s="458"/>
      <c r="H73" s="458"/>
      <c r="I73" s="458"/>
      <c r="J73" s="458"/>
      <c r="K73" s="458"/>
      <c r="L73" s="458"/>
      <c r="M73" s="460"/>
    </row>
    <row r="74" spans="1:13" s="36" customFormat="1" x14ac:dyDescent="0.2">
      <c r="A74" s="458"/>
      <c r="B74" s="458"/>
      <c r="C74" s="459"/>
      <c r="D74" s="459"/>
      <c r="E74" s="459"/>
      <c r="F74" s="458"/>
      <c r="G74" s="458"/>
      <c r="H74" s="458"/>
      <c r="I74" s="458"/>
      <c r="J74" s="458"/>
      <c r="K74" s="458"/>
      <c r="L74" s="458"/>
      <c r="M74" s="460"/>
    </row>
    <row r="75" spans="1:13" s="36" customFormat="1" x14ac:dyDescent="0.2">
      <c r="A75" s="458"/>
      <c r="B75" s="458"/>
      <c r="C75" s="459"/>
      <c r="D75" s="459"/>
      <c r="E75" s="459"/>
      <c r="F75" s="458"/>
      <c r="G75" s="458"/>
      <c r="H75" s="458"/>
      <c r="I75" s="458"/>
      <c r="J75" s="458"/>
      <c r="K75" s="458"/>
      <c r="L75" s="458"/>
      <c r="M75" s="460"/>
    </row>
    <row r="76" spans="1:13" ht="13.5" customHeight="1" thickBot="1" x14ac:dyDescent="0.25">
      <c r="L76" s="114"/>
    </row>
    <row r="77" spans="1:13" x14ac:dyDescent="0.2">
      <c r="L77" s="33"/>
    </row>
    <row r="78" spans="1:13" x14ac:dyDescent="0.2">
      <c r="A78" s="95"/>
      <c r="B78" s="36"/>
      <c r="C78" s="406"/>
      <c r="D78" s="406"/>
      <c r="E78" s="406"/>
      <c r="F78" s="36"/>
      <c r="G78" s="36"/>
      <c r="H78" s="36"/>
      <c r="I78" s="36"/>
      <c r="J78" s="36"/>
      <c r="K78" s="36"/>
      <c r="L78" s="36"/>
      <c r="M78" s="36"/>
    </row>
    <row r="79" spans="1:13" ht="15.75" x14ac:dyDescent="0.25">
      <c r="A79" s="515" t="s">
        <v>649</v>
      </c>
      <c r="B79" s="516"/>
      <c r="C79" s="516"/>
      <c r="D79" s="516"/>
      <c r="E79" s="516"/>
      <c r="F79" s="517"/>
      <c r="G79" s="36"/>
      <c r="H79" s="36"/>
      <c r="I79" s="36"/>
      <c r="J79" s="36"/>
      <c r="K79" s="36"/>
      <c r="L79" s="36"/>
      <c r="M79" s="36"/>
    </row>
    <row r="80" spans="1:13" x14ac:dyDescent="0.2">
      <c r="A80" s="95"/>
      <c r="B80" s="36"/>
      <c r="C80" s="36"/>
      <c r="D80" s="36"/>
      <c r="E80" s="36"/>
      <c r="F80" s="36"/>
      <c r="G80" s="36"/>
      <c r="H80" s="36"/>
      <c r="I80" s="36"/>
      <c r="J80" s="36"/>
      <c r="K80" s="36"/>
      <c r="L80" s="36"/>
      <c r="M80" s="36"/>
    </row>
    <row r="81" spans="1:13" ht="15.75" x14ac:dyDescent="0.25">
      <c r="A81" s="425" t="s">
        <v>603</v>
      </c>
      <c r="B81" s="518" t="s">
        <v>300</v>
      </c>
      <c r="C81" s="514" t="s">
        <v>604</v>
      </c>
      <c r="D81" s="514" t="s">
        <v>650</v>
      </c>
      <c r="E81" s="514" t="s">
        <v>605</v>
      </c>
      <c r="F81" s="514" t="s">
        <v>651</v>
      </c>
      <c r="G81" s="408"/>
      <c r="H81" s="36"/>
      <c r="I81" s="36"/>
      <c r="J81" s="36"/>
      <c r="K81" s="36"/>
      <c r="L81" s="36"/>
      <c r="M81" s="36"/>
    </row>
    <row r="82" spans="1:13" ht="15" x14ac:dyDescent="0.2">
      <c r="A82" s="519" t="s">
        <v>607</v>
      </c>
      <c r="B82" s="518"/>
      <c r="C82" s="514"/>
      <c r="D82" s="514"/>
      <c r="E82" s="514"/>
      <c r="F82" s="514"/>
      <c r="G82" s="408"/>
      <c r="H82" s="36"/>
      <c r="I82" s="36"/>
      <c r="J82" s="36"/>
      <c r="K82" s="36"/>
      <c r="L82" s="36"/>
      <c r="M82" s="36"/>
    </row>
    <row r="83" spans="1:13" ht="15" x14ac:dyDescent="0.2">
      <c r="A83" s="520"/>
      <c r="B83" s="409" t="s">
        <v>606</v>
      </c>
      <c r="C83" s="410">
        <v>860000000</v>
      </c>
      <c r="D83" s="410">
        <f>+C83*0.37</f>
        <v>318200000</v>
      </c>
      <c r="E83" s="410">
        <f>+C83-D83</f>
        <v>541800000</v>
      </c>
      <c r="F83" s="411">
        <f>+D83/C83</f>
        <v>0.37</v>
      </c>
      <c r="G83" s="408"/>
      <c r="H83" s="36"/>
      <c r="I83" s="36"/>
      <c r="J83" s="36"/>
      <c r="K83" s="36"/>
      <c r="L83" s="36"/>
      <c r="M83" s="36"/>
    </row>
    <row r="84" spans="1:13" ht="15" x14ac:dyDescent="0.2">
      <c r="A84" s="520"/>
      <c r="B84" s="409">
        <v>4</v>
      </c>
      <c r="C84" s="410">
        <v>250000000</v>
      </c>
      <c r="D84" s="410">
        <f>+C84*0.4</f>
        <v>100000000</v>
      </c>
      <c r="E84" s="410">
        <f>+C84-D84</f>
        <v>150000000</v>
      </c>
      <c r="F84" s="411">
        <f>+D84/C84</f>
        <v>0.4</v>
      </c>
      <c r="G84" s="408"/>
      <c r="H84" s="36"/>
      <c r="I84" s="36"/>
      <c r="J84" s="36"/>
      <c r="K84" s="36"/>
      <c r="L84" s="36"/>
      <c r="M84" s="36"/>
    </row>
    <row r="85" spans="1:13" ht="15" x14ac:dyDescent="0.2">
      <c r="A85" s="520"/>
      <c r="B85" s="409">
        <v>5</v>
      </c>
      <c r="C85" s="410">
        <v>80000000</v>
      </c>
      <c r="D85" s="410">
        <f>+C85*0.2</f>
        <v>16000000</v>
      </c>
      <c r="E85" s="410">
        <f>+C85-D85</f>
        <v>64000000</v>
      </c>
      <c r="F85" s="411">
        <f>+D85/C85</f>
        <v>0.2</v>
      </c>
      <c r="G85" s="408"/>
      <c r="H85" s="36"/>
      <c r="I85" s="36"/>
      <c r="J85" s="36"/>
      <c r="K85" s="36"/>
      <c r="L85" s="36"/>
      <c r="M85" s="36"/>
    </row>
    <row r="86" spans="1:13" ht="15.75" x14ac:dyDescent="0.25">
      <c r="A86" s="520"/>
      <c r="B86" s="412"/>
      <c r="C86" s="413">
        <f>SUM(C83:C85)</f>
        <v>1190000000</v>
      </c>
      <c r="D86" s="413">
        <f>SUM(D83:D85)</f>
        <v>434200000</v>
      </c>
      <c r="E86" s="414">
        <f>SUM(E83:E85)</f>
        <v>755800000</v>
      </c>
      <c r="F86" s="411">
        <f>+D86/C86</f>
        <v>0.36487394957983194</v>
      </c>
      <c r="G86" s="408"/>
      <c r="H86" s="36"/>
      <c r="I86" s="36"/>
      <c r="J86" s="36"/>
      <c r="K86" s="36"/>
      <c r="L86" s="36"/>
      <c r="M86" s="36"/>
    </row>
    <row r="87" spans="1:13" ht="15" x14ac:dyDescent="0.2">
      <c r="A87" s="415"/>
      <c r="B87" s="408"/>
      <c r="C87" s="408"/>
      <c r="D87" s="408"/>
      <c r="E87" s="408"/>
      <c r="F87" s="408"/>
      <c r="G87" s="408"/>
      <c r="H87" s="36"/>
      <c r="I87" s="36"/>
      <c r="J87" s="36"/>
      <c r="K87" s="36"/>
      <c r="L87" s="36"/>
      <c r="M87" s="36"/>
    </row>
    <row r="88" spans="1:13" ht="15" customHeight="1" x14ac:dyDescent="0.2">
      <c r="A88" s="407" t="s">
        <v>603</v>
      </c>
      <c r="B88" s="514" t="s">
        <v>300</v>
      </c>
      <c r="C88" s="514" t="s">
        <v>604</v>
      </c>
      <c r="D88" s="514" t="s">
        <v>650</v>
      </c>
      <c r="E88" s="514" t="s">
        <v>605</v>
      </c>
      <c r="F88" s="514" t="s">
        <v>651</v>
      </c>
      <c r="G88" s="408"/>
      <c r="H88" s="36"/>
      <c r="I88" s="36"/>
      <c r="J88" s="36"/>
      <c r="K88" s="36"/>
      <c r="L88" s="36"/>
      <c r="M88" s="36"/>
    </row>
    <row r="89" spans="1:13" ht="36" customHeight="1" x14ac:dyDescent="0.2">
      <c r="A89" s="521" t="s">
        <v>608</v>
      </c>
      <c r="B89" s="514"/>
      <c r="C89" s="514"/>
      <c r="D89" s="514"/>
      <c r="E89" s="514"/>
      <c r="F89" s="514"/>
      <c r="G89" s="408"/>
      <c r="H89" s="36"/>
      <c r="I89" s="36"/>
      <c r="J89" s="36"/>
      <c r="K89" s="36"/>
      <c r="L89" s="36"/>
      <c r="M89" s="36"/>
    </row>
    <row r="90" spans="1:13" ht="15.75" customHeight="1" x14ac:dyDescent="0.2">
      <c r="A90" s="522"/>
      <c r="B90" s="416">
        <v>2</v>
      </c>
      <c r="C90" s="417">
        <v>2268000000</v>
      </c>
      <c r="D90" s="417">
        <f>+C90*0.4</f>
        <v>907200000</v>
      </c>
      <c r="E90" s="418">
        <f>+C90-D90</f>
        <v>1360800000</v>
      </c>
      <c r="F90" s="411">
        <f t="shared" ref="F90:F95" si="20">+D90/C90</f>
        <v>0.4</v>
      </c>
      <c r="G90" s="408"/>
      <c r="H90" s="36"/>
      <c r="I90" s="36"/>
      <c r="J90" s="36"/>
      <c r="K90" s="36"/>
      <c r="L90" s="36"/>
      <c r="M90" s="36"/>
    </row>
    <row r="91" spans="1:13" ht="15.75" customHeight="1" x14ac:dyDescent="0.2">
      <c r="A91" s="522"/>
      <c r="B91" s="416">
        <v>4</v>
      </c>
      <c r="C91" s="410">
        <v>3826000000</v>
      </c>
      <c r="D91" s="410">
        <f>+C91*0.8</f>
        <v>3060800000</v>
      </c>
      <c r="E91" s="418">
        <f>+C91-D91</f>
        <v>765200000</v>
      </c>
      <c r="F91" s="411">
        <f t="shared" si="20"/>
        <v>0.8</v>
      </c>
      <c r="G91" s="408"/>
      <c r="H91" s="36"/>
      <c r="I91" s="36"/>
      <c r="J91" s="36"/>
      <c r="K91" s="36"/>
      <c r="L91" s="36"/>
      <c r="M91" s="36"/>
    </row>
    <row r="92" spans="1:13" ht="15.75" customHeight="1" x14ac:dyDescent="0.2">
      <c r="A92" s="522"/>
      <c r="B92" s="416">
        <v>5</v>
      </c>
      <c r="C92" s="410">
        <v>77000000</v>
      </c>
      <c r="D92" s="410">
        <f>+C92*0.4</f>
        <v>30800000</v>
      </c>
      <c r="E92" s="418">
        <f>+C92-D92</f>
        <v>46200000</v>
      </c>
      <c r="F92" s="411">
        <f t="shared" si="20"/>
        <v>0.4</v>
      </c>
      <c r="G92" s="408"/>
      <c r="H92" s="36"/>
      <c r="I92" s="36"/>
      <c r="J92" s="36"/>
      <c r="K92" s="36"/>
      <c r="L92" s="36"/>
      <c r="M92" s="36"/>
    </row>
    <row r="93" spans="1:13" ht="15.75" customHeight="1" x14ac:dyDescent="0.2">
      <c r="A93" s="522"/>
      <c r="B93" s="416">
        <v>6</v>
      </c>
      <c r="C93" s="410">
        <v>450000000</v>
      </c>
      <c r="D93" s="410">
        <f>+C93</f>
        <v>450000000</v>
      </c>
      <c r="E93" s="418">
        <f>+C93-D93</f>
        <v>0</v>
      </c>
      <c r="F93" s="411">
        <f t="shared" si="20"/>
        <v>1</v>
      </c>
      <c r="G93" s="408"/>
      <c r="H93" s="36"/>
      <c r="I93" s="36"/>
      <c r="J93" s="36"/>
      <c r="K93" s="36"/>
      <c r="L93" s="36"/>
      <c r="M93" s="36"/>
    </row>
    <row r="94" spans="1:13" ht="15.75" customHeight="1" x14ac:dyDescent="0.2">
      <c r="A94" s="523"/>
      <c r="B94" s="416">
        <v>7</v>
      </c>
      <c r="C94" s="410">
        <v>300000000</v>
      </c>
      <c r="D94" s="410">
        <f>+C94*0.2</f>
        <v>60000000</v>
      </c>
      <c r="E94" s="418">
        <f>+C94-D94</f>
        <v>240000000</v>
      </c>
      <c r="F94" s="411">
        <f t="shared" si="20"/>
        <v>0.2</v>
      </c>
      <c r="G94" s="408"/>
      <c r="H94" s="36"/>
      <c r="I94" s="36"/>
      <c r="J94" s="36"/>
      <c r="K94" s="36"/>
      <c r="L94" s="36"/>
      <c r="M94" s="36"/>
    </row>
    <row r="95" spans="1:13" ht="15.75" x14ac:dyDescent="0.25">
      <c r="A95" s="415"/>
      <c r="B95" s="412"/>
      <c r="C95" s="419">
        <f>SUM(C89:C94)</f>
        <v>6921000000</v>
      </c>
      <c r="D95" s="419">
        <f>SUM(D90:D94)</f>
        <v>4508800000</v>
      </c>
      <c r="E95" s="420">
        <f>SUM(E90:E94)</f>
        <v>2412200000</v>
      </c>
      <c r="F95" s="411">
        <f t="shared" si="20"/>
        <v>0.65146655107643403</v>
      </c>
      <c r="G95" s="408"/>
      <c r="H95" s="36"/>
      <c r="I95" s="36"/>
      <c r="J95" s="36"/>
      <c r="K95" s="36"/>
      <c r="L95" s="36"/>
      <c r="M95" s="36"/>
    </row>
    <row r="96" spans="1:13" ht="15.75" x14ac:dyDescent="0.25">
      <c r="A96" s="511" t="s">
        <v>652</v>
      </c>
      <c r="B96" s="512"/>
      <c r="C96" s="512"/>
      <c r="D96" s="513"/>
      <c r="E96" s="414">
        <f>E86+E95</f>
        <v>3168000000</v>
      </c>
      <c r="F96" s="408"/>
      <c r="G96" s="408"/>
      <c r="H96" s="36"/>
      <c r="I96" s="36"/>
      <c r="J96" s="36"/>
      <c r="K96" s="36"/>
      <c r="L96" s="36"/>
      <c r="M96" s="36"/>
    </row>
    <row r="97" spans="1:13" ht="15" x14ac:dyDescent="0.2">
      <c r="A97" s="415"/>
      <c r="B97" s="408"/>
      <c r="C97" s="421"/>
      <c r="D97" s="408"/>
      <c r="E97" s="421"/>
      <c r="F97" s="408"/>
      <c r="G97" s="408"/>
      <c r="H97" s="36"/>
      <c r="I97" s="36"/>
      <c r="J97" s="36"/>
      <c r="K97" s="36"/>
      <c r="L97" s="36"/>
      <c r="M97" s="36"/>
    </row>
    <row r="98" spans="1:13" ht="47.25" x14ac:dyDescent="0.25">
      <c r="A98" s="422" t="s">
        <v>654</v>
      </c>
      <c r="B98" s="445">
        <f>+D95+D86</f>
        <v>4943000000</v>
      </c>
      <c r="C98" s="36"/>
      <c r="D98" s="36"/>
      <c r="E98" s="36"/>
      <c r="F98" s="36"/>
      <c r="G98" s="408"/>
      <c r="H98" s="36"/>
      <c r="I98" s="36"/>
      <c r="J98" s="36"/>
      <c r="K98" s="36"/>
      <c r="L98" s="36"/>
      <c r="M98" s="36"/>
    </row>
    <row r="99" spans="1:13" ht="45" x14ac:dyDescent="0.2">
      <c r="A99" s="426" t="s">
        <v>655</v>
      </c>
      <c r="B99" s="428">
        <v>1092872880</v>
      </c>
      <c r="C99" s="408"/>
      <c r="D99" s="408"/>
      <c r="E99" s="408"/>
      <c r="F99" s="423"/>
      <c r="G99" s="417"/>
      <c r="H99" s="36"/>
      <c r="I99" s="36"/>
      <c r="J99" s="36"/>
      <c r="K99" s="36"/>
      <c r="L99" s="36"/>
      <c r="M99" s="36"/>
    </row>
    <row r="100" spans="1:13" ht="45" x14ac:dyDescent="0.2">
      <c r="A100" s="427" t="s">
        <v>653</v>
      </c>
      <c r="B100" s="429">
        <v>6035872880</v>
      </c>
      <c r="C100" s="408"/>
      <c r="D100" s="408"/>
      <c r="E100" s="408"/>
      <c r="F100" s="424"/>
      <c r="G100" s="408"/>
      <c r="H100" s="36"/>
      <c r="I100" s="36"/>
      <c r="J100" s="36"/>
      <c r="K100" s="36"/>
      <c r="L100" s="36"/>
      <c r="M100" s="36"/>
    </row>
    <row r="101" spans="1:13" ht="15" x14ac:dyDescent="0.2">
      <c r="A101" s="408"/>
      <c r="B101" s="408"/>
      <c r="C101" s="408"/>
      <c r="D101" s="408"/>
      <c r="E101" s="408"/>
      <c r="F101" s="408"/>
      <c r="G101" s="408"/>
      <c r="H101" s="36"/>
      <c r="I101" s="36"/>
      <c r="J101" s="36"/>
      <c r="K101" s="36"/>
      <c r="L101" s="36"/>
      <c r="M101" s="36"/>
    </row>
    <row r="102" spans="1:13" s="36" customFormat="1" ht="15" x14ac:dyDescent="0.2">
      <c r="A102" s="408"/>
      <c r="B102" s="408"/>
      <c r="C102" s="408"/>
      <c r="D102" s="408"/>
      <c r="E102" s="408"/>
      <c r="F102" s="408"/>
      <c r="G102" s="408"/>
    </row>
    <row r="103" spans="1:13" s="36" customFormat="1" x14ac:dyDescent="0.2"/>
    <row r="104" spans="1:13" x14ac:dyDescent="0.2">
      <c r="K104" s="36"/>
      <c r="L104" s="36"/>
      <c r="M104" s="36"/>
    </row>
    <row r="105" spans="1:13" x14ac:dyDescent="0.2">
      <c r="K105" s="36"/>
      <c r="L105" s="36"/>
      <c r="M105" s="36"/>
    </row>
    <row r="106" spans="1:13" x14ac:dyDescent="0.2">
      <c r="K106" s="36"/>
      <c r="L106" s="36"/>
      <c r="M106" s="36"/>
    </row>
    <row r="107" spans="1:13" x14ac:dyDescent="0.2">
      <c r="K107" s="36"/>
      <c r="L107" s="36"/>
      <c r="M107" s="36"/>
    </row>
    <row r="108" spans="1:13" x14ac:dyDescent="0.2">
      <c r="K108" s="36"/>
      <c r="L108" s="36"/>
      <c r="M108" s="36"/>
    </row>
  </sheetData>
  <mergeCells count="22">
    <mergeCell ref="A53:L53"/>
    <mergeCell ref="B1:F1"/>
    <mergeCell ref="B2:F2"/>
    <mergeCell ref="A52:L52"/>
    <mergeCell ref="K2:L2"/>
    <mergeCell ref="K5:L5"/>
    <mergeCell ref="B3:L3"/>
    <mergeCell ref="B4:L4"/>
    <mergeCell ref="A96:D96"/>
    <mergeCell ref="F88:F89"/>
    <mergeCell ref="A79:F79"/>
    <mergeCell ref="B81:B82"/>
    <mergeCell ref="C81:C82"/>
    <mergeCell ref="D81:D82"/>
    <mergeCell ref="E81:E82"/>
    <mergeCell ref="F81:F82"/>
    <mergeCell ref="A82:A86"/>
    <mergeCell ref="A89:A94"/>
    <mergeCell ref="B88:B89"/>
    <mergeCell ref="C88:C89"/>
    <mergeCell ref="D88:D89"/>
    <mergeCell ref="E88:E89"/>
  </mergeCells>
  <pageMargins left="1.299212598425197" right="0.31496062992125984" top="0.74803149606299213" bottom="0.74803149606299213" header="0.31496062992125984" footer="0.31496062992125984"/>
  <pageSetup scale="4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C113"/>
  <sheetViews>
    <sheetView showGridLines="0" tabSelected="1" view="pageBreakPreview" zoomScale="70" zoomScaleNormal="85" zoomScaleSheetLayoutView="70" workbookViewId="0">
      <pane ySplit="6" topLeftCell="A109" activePane="bottomLeft" state="frozen"/>
      <selection pane="bottomLeft" activeCell="I65" sqref="I65:I112"/>
    </sheetView>
  </sheetViews>
  <sheetFormatPr baseColWidth="10" defaultColWidth="9.140625" defaultRowHeight="12.75" x14ac:dyDescent="0.2"/>
  <cols>
    <col min="1" max="1" width="8" style="13" customWidth="1"/>
    <col min="2" max="2" width="18" customWidth="1"/>
    <col min="3" max="3" width="14" style="13" customWidth="1"/>
    <col min="4" max="4" width="14.140625" customWidth="1"/>
    <col min="5" max="5" width="14.42578125" style="138" customWidth="1"/>
    <col min="6" max="6" width="20" style="139" customWidth="1"/>
    <col min="7" max="7" width="15.42578125" style="2" customWidth="1"/>
    <col min="8" max="8" width="18.7109375" style="2" customWidth="1"/>
    <col min="9" max="9" width="17.85546875" style="140" customWidth="1"/>
    <col min="10" max="10" width="16.5703125" style="134" customWidth="1"/>
    <col min="11" max="11" width="22.140625" style="134" customWidth="1"/>
    <col min="12" max="12" width="13.7109375" style="135" customWidth="1"/>
    <col min="13" max="13" width="11.7109375" style="135" customWidth="1"/>
    <col min="14" max="14" width="9.140625" style="13" customWidth="1"/>
    <col min="15" max="15" width="15.28515625" style="135" customWidth="1"/>
    <col min="16" max="16" width="16" customWidth="1"/>
    <col min="17" max="17" width="31.28515625" customWidth="1"/>
    <col min="18" max="18" width="53.7109375" customWidth="1"/>
    <col min="19" max="19" width="18" customWidth="1"/>
    <col min="20" max="20" width="17.28515625" customWidth="1"/>
    <col min="21" max="21" width="14.140625" customWidth="1"/>
    <col min="22" max="254" width="11.42578125" customWidth="1"/>
  </cols>
  <sheetData>
    <row r="1" spans="1:237" ht="22.5" customHeight="1" x14ac:dyDescent="0.2">
      <c r="A1" s="129"/>
      <c r="B1" s="474"/>
      <c r="C1" s="534" t="s">
        <v>275</v>
      </c>
      <c r="D1" s="535"/>
      <c r="E1" s="535"/>
      <c r="F1" s="535"/>
      <c r="G1" s="535"/>
      <c r="H1" s="535"/>
      <c r="I1" s="535"/>
      <c r="J1" s="535"/>
      <c r="K1" s="535"/>
      <c r="L1" s="535"/>
      <c r="M1" s="535"/>
      <c r="N1" s="535"/>
      <c r="O1" s="535"/>
      <c r="P1" s="535"/>
      <c r="Q1" s="535"/>
      <c r="R1" s="536"/>
      <c r="S1" s="32"/>
      <c r="T1" s="32"/>
      <c r="U1" s="33"/>
    </row>
    <row r="2" spans="1:237" ht="18" customHeight="1" x14ac:dyDescent="0.2">
      <c r="A2" s="130"/>
      <c r="B2" s="475"/>
      <c r="C2" s="537"/>
      <c r="D2" s="538"/>
      <c r="E2" s="538"/>
      <c r="F2" s="538"/>
      <c r="G2" s="538"/>
      <c r="H2" s="538"/>
      <c r="I2" s="538"/>
      <c r="J2" s="538"/>
      <c r="K2" s="538"/>
      <c r="L2" s="538"/>
      <c r="M2" s="538"/>
      <c r="N2" s="538"/>
      <c r="O2" s="538"/>
      <c r="P2" s="538"/>
      <c r="Q2" s="538"/>
      <c r="R2" s="539"/>
      <c r="S2" s="36"/>
      <c r="T2" s="36"/>
      <c r="U2" s="114"/>
    </row>
    <row r="3" spans="1:237" ht="23.25" customHeight="1" x14ac:dyDescent="0.2">
      <c r="A3" s="130"/>
      <c r="B3" s="475"/>
      <c r="C3" s="537"/>
      <c r="D3" s="538"/>
      <c r="E3" s="538"/>
      <c r="F3" s="538"/>
      <c r="G3" s="538"/>
      <c r="H3" s="538"/>
      <c r="I3" s="538"/>
      <c r="J3" s="538"/>
      <c r="K3" s="538"/>
      <c r="L3" s="538"/>
      <c r="M3" s="538"/>
      <c r="N3" s="538"/>
      <c r="O3" s="538"/>
      <c r="P3" s="538"/>
      <c r="Q3" s="538"/>
      <c r="R3" s="539"/>
      <c r="S3" s="36"/>
      <c r="T3" s="36"/>
      <c r="U3" s="114"/>
    </row>
    <row r="4" spans="1:237" ht="24.75" customHeight="1" x14ac:dyDescent="0.2">
      <c r="A4" s="130"/>
      <c r="B4" s="475"/>
      <c r="C4" s="537"/>
      <c r="D4" s="538"/>
      <c r="E4" s="538"/>
      <c r="F4" s="538"/>
      <c r="G4" s="538"/>
      <c r="H4" s="538"/>
      <c r="I4" s="538"/>
      <c r="J4" s="538"/>
      <c r="K4" s="538"/>
      <c r="L4" s="538"/>
      <c r="M4" s="538"/>
      <c r="N4" s="538"/>
      <c r="O4" s="538"/>
      <c r="P4" s="538"/>
      <c r="Q4" s="538"/>
      <c r="R4" s="539"/>
      <c r="S4" s="36"/>
      <c r="T4" s="36"/>
      <c r="U4" s="114"/>
    </row>
    <row r="5" spans="1:237" ht="16.5" customHeight="1" thickBot="1" x14ac:dyDescent="0.3">
      <c r="A5" s="131"/>
      <c r="B5" s="476"/>
      <c r="C5" s="540" t="s">
        <v>628</v>
      </c>
      <c r="D5" s="541"/>
      <c r="E5" s="541"/>
      <c r="F5" s="541"/>
      <c r="G5" s="541"/>
      <c r="H5" s="541"/>
      <c r="I5" s="541"/>
      <c r="J5" s="541"/>
      <c r="K5" s="541"/>
      <c r="L5" s="541"/>
      <c r="M5" s="541"/>
      <c r="N5" s="542"/>
      <c r="O5" s="541"/>
      <c r="P5" s="541"/>
      <c r="Q5" s="541"/>
      <c r="R5" s="543"/>
      <c r="S5" s="133"/>
      <c r="T5" s="133"/>
      <c r="U5" s="132"/>
    </row>
    <row r="6" spans="1:237" ht="103.5" customHeight="1" x14ac:dyDescent="0.25">
      <c r="A6" s="12" t="s">
        <v>150</v>
      </c>
      <c r="B6" s="463" t="s">
        <v>30</v>
      </c>
      <c r="C6" s="463" t="s">
        <v>1</v>
      </c>
      <c r="D6" s="464" t="s">
        <v>2</v>
      </c>
      <c r="E6" s="464" t="s">
        <v>3</v>
      </c>
      <c r="F6" s="465" t="s">
        <v>4</v>
      </c>
      <c r="G6" s="466" t="s">
        <v>5</v>
      </c>
      <c r="H6" s="466" t="s">
        <v>6</v>
      </c>
      <c r="I6" s="467" t="s">
        <v>7</v>
      </c>
      <c r="J6" s="468" t="s">
        <v>286</v>
      </c>
      <c r="K6" s="469" t="s">
        <v>8</v>
      </c>
      <c r="L6" s="470" t="s">
        <v>9</v>
      </c>
      <c r="M6" s="470" t="s">
        <v>10</v>
      </c>
      <c r="N6" s="471" t="s">
        <v>11</v>
      </c>
      <c r="O6" s="470" t="s">
        <v>12</v>
      </c>
      <c r="P6" s="470" t="s">
        <v>13</v>
      </c>
      <c r="Q6" s="472" t="s">
        <v>14</v>
      </c>
      <c r="R6" s="472" t="s">
        <v>15</v>
      </c>
      <c r="S6" s="473" t="s">
        <v>277</v>
      </c>
      <c r="T6" s="473" t="s">
        <v>669</v>
      </c>
      <c r="U6" s="473" t="s">
        <v>278</v>
      </c>
      <c r="V6" s="144"/>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row>
    <row r="7" spans="1:237" s="4" customFormat="1" ht="161.25" customHeight="1" x14ac:dyDescent="0.2">
      <c r="A7" s="22">
        <v>1</v>
      </c>
      <c r="B7" s="17" t="s">
        <v>0</v>
      </c>
      <c r="C7" s="23" t="s">
        <v>16</v>
      </c>
      <c r="D7" s="24" t="s">
        <v>221</v>
      </c>
      <c r="E7" s="246" t="s">
        <v>17</v>
      </c>
      <c r="F7" s="25" t="s">
        <v>18</v>
      </c>
      <c r="G7" s="15" t="s">
        <v>227</v>
      </c>
      <c r="H7" s="10" t="s">
        <v>19</v>
      </c>
      <c r="I7" s="27">
        <v>30000000</v>
      </c>
      <c r="J7" s="27"/>
      <c r="K7" s="493">
        <v>42493</v>
      </c>
      <c r="L7" s="494">
        <v>42595</v>
      </c>
      <c r="M7" s="494">
        <v>42600</v>
      </c>
      <c r="N7" s="6">
        <v>120</v>
      </c>
      <c r="O7" s="494">
        <f>M7+N7</f>
        <v>42720</v>
      </c>
      <c r="P7" s="200" t="s">
        <v>20</v>
      </c>
      <c r="Q7" s="26" t="s">
        <v>21</v>
      </c>
      <c r="R7" s="11" t="s">
        <v>22</v>
      </c>
      <c r="S7" s="207" t="s">
        <v>374</v>
      </c>
      <c r="T7" s="136"/>
      <c r="U7" s="136"/>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row>
    <row r="8" spans="1:237" s="4" customFormat="1" ht="191.25" customHeight="1" x14ac:dyDescent="0.2">
      <c r="A8" s="22">
        <f>A7+1</f>
        <v>2</v>
      </c>
      <c r="B8" s="17" t="s">
        <v>0</v>
      </c>
      <c r="C8" s="213" t="s">
        <v>23</v>
      </c>
      <c r="D8" s="10" t="s">
        <v>24</v>
      </c>
      <c r="E8" s="247" t="s">
        <v>25</v>
      </c>
      <c r="F8" s="15" t="s">
        <v>26</v>
      </c>
      <c r="G8" s="200" t="s">
        <v>27</v>
      </c>
      <c r="H8" s="10" t="s">
        <v>28</v>
      </c>
      <c r="I8" s="210">
        <v>64000000</v>
      </c>
      <c r="J8" s="210"/>
      <c r="K8" s="494">
        <v>42500</v>
      </c>
      <c r="L8" s="494">
        <v>42609</v>
      </c>
      <c r="M8" s="494">
        <v>42614</v>
      </c>
      <c r="N8" s="226">
        <v>240</v>
      </c>
      <c r="O8" s="494">
        <f>M8+N8</f>
        <v>42854</v>
      </c>
      <c r="P8" s="197" t="s">
        <v>708</v>
      </c>
      <c r="Q8" s="10" t="s">
        <v>288</v>
      </c>
      <c r="R8" s="11" t="s">
        <v>29</v>
      </c>
      <c r="S8" s="207" t="s">
        <v>374</v>
      </c>
      <c r="T8" s="136"/>
      <c r="U8" s="136"/>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row>
    <row r="9" spans="1:237" s="4" customFormat="1" ht="126" customHeight="1" x14ac:dyDescent="0.2">
      <c r="A9" s="22">
        <f t="shared" ref="A9:A40" si="0">A8+1</f>
        <v>3</v>
      </c>
      <c r="B9" s="17" t="s">
        <v>92</v>
      </c>
      <c r="C9" s="23">
        <v>31201</v>
      </c>
      <c r="D9" s="24" t="s">
        <v>128</v>
      </c>
      <c r="E9" s="246">
        <v>3120101</v>
      </c>
      <c r="F9" s="25" t="s">
        <v>235</v>
      </c>
      <c r="G9" s="15" t="s">
        <v>27</v>
      </c>
      <c r="H9" s="10" t="s">
        <v>19</v>
      </c>
      <c r="I9" s="27">
        <v>95000000</v>
      </c>
      <c r="J9" s="27"/>
      <c r="K9" s="493">
        <v>42422</v>
      </c>
      <c r="L9" s="494">
        <v>42480</v>
      </c>
      <c r="M9" s="494">
        <v>42488</v>
      </c>
      <c r="N9" s="6">
        <v>240</v>
      </c>
      <c r="O9" s="494">
        <v>42732</v>
      </c>
      <c r="P9" s="200" t="s">
        <v>31</v>
      </c>
      <c r="Q9" s="26" t="s">
        <v>489</v>
      </c>
      <c r="R9" s="11" t="s">
        <v>490</v>
      </c>
      <c r="S9" s="207" t="s">
        <v>366</v>
      </c>
      <c r="T9" s="207" t="s">
        <v>488</v>
      </c>
      <c r="U9" s="221" t="s">
        <v>333</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row>
    <row r="10" spans="1:237" s="4" customFormat="1" ht="105.75" customHeight="1" x14ac:dyDescent="0.2">
      <c r="A10" s="22">
        <f t="shared" si="0"/>
        <v>4</v>
      </c>
      <c r="B10" s="17" t="s">
        <v>92</v>
      </c>
      <c r="C10" s="23" t="s">
        <v>16</v>
      </c>
      <c r="D10" s="24" t="s">
        <v>221</v>
      </c>
      <c r="E10" s="246">
        <v>3120210</v>
      </c>
      <c r="F10" s="25" t="s">
        <v>32</v>
      </c>
      <c r="G10" s="15" t="s">
        <v>690</v>
      </c>
      <c r="H10" s="10" t="s">
        <v>34</v>
      </c>
      <c r="I10" s="27">
        <v>40000000</v>
      </c>
      <c r="J10" s="27"/>
      <c r="K10" s="493">
        <v>42459</v>
      </c>
      <c r="L10" s="494">
        <f>K10+60</f>
        <v>42519</v>
      </c>
      <c r="M10" s="494">
        <f>L10+5</f>
        <v>42524</v>
      </c>
      <c r="N10" s="6">
        <v>180</v>
      </c>
      <c r="O10" s="494">
        <f>M10+N10</f>
        <v>42704</v>
      </c>
      <c r="P10" s="200" t="s">
        <v>35</v>
      </c>
      <c r="Q10" s="26" t="s">
        <v>616</v>
      </c>
      <c r="R10" s="11" t="s">
        <v>36</v>
      </c>
      <c r="S10" s="207" t="s">
        <v>366</v>
      </c>
      <c r="T10" s="272" t="s">
        <v>707</v>
      </c>
      <c r="U10" s="221" t="s">
        <v>333</v>
      </c>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row>
    <row r="11" spans="1:237" s="4" customFormat="1" ht="136.5" customHeight="1" x14ac:dyDescent="0.2">
      <c r="A11" s="22">
        <f t="shared" si="0"/>
        <v>5</v>
      </c>
      <c r="B11" s="17" t="s">
        <v>92</v>
      </c>
      <c r="C11" s="23" t="s">
        <v>16</v>
      </c>
      <c r="D11" s="24" t="s">
        <v>221</v>
      </c>
      <c r="E11" s="246">
        <v>3120210</v>
      </c>
      <c r="F11" s="25" t="s">
        <v>32</v>
      </c>
      <c r="G11" s="15" t="s">
        <v>33</v>
      </c>
      <c r="H11" s="10" t="s">
        <v>34</v>
      </c>
      <c r="I11" s="27">
        <v>15000000</v>
      </c>
      <c r="J11" s="27"/>
      <c r="K11" s="493">
        <v>42459</v>
      </c>
      <c r="L11" s="494">
        <v>42503</v>
      </c>
      <c r="M11" s="494">
        <v>42541</v>
      </c>
      <c r="N11" s="6">
        <v>60</v>
      </c>
      <c r="O11" s="494">
        <f>M11+N11</f>
        <v>42601</v>
      </c>
      <c r="P11" s="200" t="s">
        <v>37</v>
      </c>
      <c r="Q11" s="26" t="s">
        <v>287</v>
      </c>
      <c r="R11" s="11" t="s">
        <v>38</v>
      </c>
      <c r="S11" s="207" t="s">
        <v>366</v>
      </c>
      <c r="T11" s="430" t="s">
        <v>613</v>
      </c>
      <c r="U11" s="221" t="s">
        <v>333</v>
      </c>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row>
    <row r="12" spans="1:237" s="4" customFormat="1" ht="115.5" customHeight="1" x14ac:dyDescent="0.2">
      <c r="A12" s="22">
        <f t="shared" si="0"/>
        <v>6</v>
      </c>
      <c r="B12" s="17" t="s">
        <v>92</v>
      </c>
      <c r="C12" s="23" t="s">
        <v>16</v>
      </c>
      <c r="D12" s="24" t="s">
        <v>221</v>
      </c>
      <c r="E12" s="246">
        <v>3120210</v>
      </c>
      <c r="F12" s="25" t="s">
        <v>32</v>
      </c>
      <c r="G12" s="15" t="s">
        <v>83</v>
      </c>
      <c r="H12" s="10" t="s">
        <v>34</v>
      </c>
      <c r="I12" s="27">
        <v>40000000</v>
      </c>
      <c r="J12" s="27"/>
      <c r="K12" s="493">
        <v>42522</v>
      </c>
      <c r="L12" s="494">
        <f>K12+30</f>
        <v>42552</v>
      </c>
      <c r="M12" s="494">
        <f>L12+5</f>
        <v>42557</v>
      </c>
      <c r="N12" s="6">
        <v>180</v>
      </c>
      <c r="O12" s="494">
        <f>M12+N12</f>
        <v>42737</v>
      </c>
      <c r="P12" s="200" t="s">
        <v>39</v>
      </c>
      <c r="Q12" s="26" t="s">
        <v>40</v>
      </c>
      <c r="R12" s="11" t="s">
        <v>41</v>
      </c>
      <c r="S12" s="207" t="s">
        <v>366</v>
      </c>
      <c r="T12" s="136"/>
      <c r="U12" s="136"/>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row>
    <row r="13" spans="1:237" s="4" customFormat="1" ht="90" customHeight="1" x14ac:dyDescent="0.2">
      <c r="A13" s="22">
        <f t="shared" si="0"/>
        <v>7</v>
      </c>
      <c r="B13" s="17" t="s">
        <v>92</v>
      </c>
      <c r="C13" s="23" t="s">
        <v>16</v>
      </c>
      <c r="D13" s="24" t="s">
        <v>221</v>
      </c>
      <c r="E13" s="246">
        <v>3120210</v>
      </c>
      <c r="F13" s="25" t="s">
        <v>32</v>
      </c>
      <c r="G13" s="15" t="s">
        <v>83</v>
      </c>
      <c r="H13" s="10" t="s">
        <v>34</v>
      </c>
      <c r="I13" s="27">
        <v>7000000</v>
      </c>
      <c r="J13" s="27"/>
      <c r="K13" s="493">
        <v>42522</v>
      </c>
      <c r="L13" s="494">
        <f t="shared" ref="L13:L14" si="1">K13+30</f>
        <v>42552</v>
      </c>
      <c r="M13" s="494">
        <f t="shared" ref="M13:M14" si="2">L13+5</f>
        <v>42557</v>
      </c>
      <c r="N13" s="6">
        <v>150</v>
      </c>
      <c r="O13" s="494">
        <f t="shared" ref="O13:O14" si="3">M13+N13</f>
        <v>42707</v>
      </c>
      <c r="P13" s="200" t="s">
        <v>42</v>
      </c>
      <c r="Q13" s="26" t="s">
        <v>43</v>
      </c>
      <c r="R13" s="11" t="s">
        <v>44</v>
      </c>
      <c r="S13" s="207" t="s">
        <v>366</v>
      </c>
      <c r="T13" s="136"/>
      <c r="U13" s="136"/>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row>
    <row r="14" spans="1:237" s="4" customFormat="1" ht="93" customHeight="1" x14ac:dyDescent="0.2">
      <c r="A14" s="22">
        <f t="shared" si="0"/>
        <v>8</v>
      </c>
      <c r="B14" s="17" t="s">
        <v>92</v>
      </c>
      <c r="C14" s="23" t="s">
        <v>16</v>
      </c>
      <c r="D14" s="24" t="s">
        <v>221</v>
      </c>
      <c r="E14" s="246">
        <v>3120210</v>
      </c>
      <c r="F14" s="25" t="s">
        <v>32</v>
      </c>
      <c r="G14" s="15" t="s">
        <v>83</v>
      </c>
      <c r="H14" s="10" t="s">
        <v>34</v>
      </c>
      <c r="I14" s="27">
        <v>7000000</v>
      </c>
      <c r="J14" s="27"/>
      <c r="K14" s="493">
        <v>42522</v>
      </c>
      <c r="L14" s="494">
        <f t="shared" si="1"/>
        <v>42552</v>
      </c>
      <c r="M14" s="494">
        <f t="shared" si="2"/>
        <v>42557</v>
      </c>
      <c r="N14" s="6">
        <v>150</v>
      </c>
      <c r="O14" s="494">
        <f t="shared" si="3"/>
        <v>42707</v>
      </c>
      <c r="P14" s="200" t="s">
        <v>45</v>
      </c>
      <c r="Q14" s="26" t="s">
        <v>46</v>
      </c>
      <c r="R14" s="11" t="s">
        <v>679</v>
      </c>
      <c r="S14" s="207" t="s">
        <v>366</v>
      </c>
      <c r="T14" s="136"/>
      <c r="U14" s="136"/>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row>
    <row r="15" spans="1:237" s="4" customFormat="1" ht="51" customHeight="1" x14ac:dyDescent="0.2">
      <c r="A15" s="22">
        <f t="shared" si="0"/>
        <v>9</v>
      </c>
      <c r="B15" s="17" t="s">
        <v>92</v>
      </c>
      <c r="C15" s="23" t="s">
        <v>16</v>
      </c>
      <c r="D15" s="24" t="s">
        <v>221</v>
      </c>
      <c r="E15" s="246">
        <v>3120210</v>
      </c>
      <c r="F15" s="25" t="s">
        <v>32</v>
      </c>
      <c r="G15" s="15" t="s">
        <v>33</v>
      </c>
      <c r="H15" s="10" t="s">
        <v>34</v>
      </c>
      <c r="I15" s="27">
        <v>30000000</v>
      </c>
      <c r="J15" s="27"/>
      <c r="K15" s="493">
        <v>42536</v>
      </c>
      <c r="L15" s="494">
        <v>42618</v>
      </c>
      <c r="M15" s="494">
        <v>42618</v>
      </c>
      <c r="N15" s="6">
        <v>8</v>
      </c>
      <c r="O15" s="494">
        <v>42626</v>
      </c>
      <c r="P15" s="200" t="s">
        <v>47</v>
      </c>
      <c r="Q15" s="26" t="s">
        <v>48</v>
      </c>
      <c r="R15" s="11" t="s">
        <v>49</v>
      </c>
      <c r="S15" s="207" t="s">
        <v>366</v>
      </c>
      <c r="T15" s="136"/>
      <c r="U15" s="136"/>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s="4" customFormat="1" ht="89.25" customHeight="1" x14ac:dyDescent="0.2">
      <c r="A16" s="22">
        <f t="shared" si="0"/>
        <v>10</v>
      </c>
      <c r="B16" s="17" t="s">
        <v>92</v>
      </c>
      <c r="C16" s="23" t="s">
        <v>16</v>
      </c>
      <c r="D16" s="24" t="s">
        <v>221</v>
      </c>
      <c r="E16" s="246">
        <v>3120210</v>
      </c>
      <c r="F16" s="25" t="s">
        <v>32</v>
      </c>
      <c r="G16" s="15" t="s">
        <v>33</v>
      </c>
      <c r="H16" s="10" t="s">
        <v>34</v>
      </c>
      <c r="I16" s="27">
        <v>15000000</v>
      </c>
      <c r="J16" s="27"/>
      <c r="K16" s="493">
        <v>42459</v>
      </c>
      <c r="L16" s="494">
        <f>K16+60</f>
        <v>42519</v>
      </c>
      <c r="M16" s="494">
        <f>L16+5</f>
        <v>42524</v>
      </c>
      <c r="N16" s="6">
        <v>180</v>
      </c>
      <c r="O16" s="494">
        <f>M16+N16</f>
        <v>42704</v>
      </c>
      <c r="P16" s="200" t="s">
        <v>50</v>
      </c>
      <c r="Q16" s="26" t="s">
        <v>614</v>
      </c>
      <c r="R16" s="11" t="s">
        <v>51</v>
      </c>
      <c r="S16" s="207" t="s">
        <v>366</v>
      </c>
      <c r="T16" s="207" t="s">
        <v>615</v>
      </c>
      <c r="U16" s="221" t="s">
        <v>333</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row>
    <row r="17" spans="1:237" s="4" customFormat="1" ht="117.75" customHeight="1" x14ac:dyDescent="0.2">
      <c r="A17" s="22">
        <f t="shared" si="0"/>
        <v>11</v>
      </c>
      <c r="B17" s="17" t="s">
        <v>92</v>
      </c>
      <c r="C17" s="23" t="s">
        <v>16</v>
      </c>
      <c r="D17" s="24" t="s">
        <v>221</v>
      </c>
      <c r="E17" s="246" t="s">
        <v>492</v>
      </c>
      <c r="F17" s="25" t="s">
        <v>32</v>
      </c>
      <c r="G17" s="15" t="s">
        <v>227</v>
      </c>
      <c r="H17" s="10" t="s">
        <v>34</v>
      </c>
      <c r="I17" s="27">
        <f>145000000+14596059</f>
        <v>159596059</v>
      </c>
      <c r="J17" s="27"/>
      <c r="K17" s="493">
        <v>42408</v>
      </c>
      <c r="L17" s="494">
        <v>42485</v>
      </c>
      <c r="M17" s="494">
        <v>42485</v>
      </c>
      <c r="N17" s="6">
        <v>240</v>
      </c>
      <c r="O17" s="494">
        <f>M17+N17</f>
        <v>42725</v>
      </c>
      <c r="P17" s="200" t="s">
        <v>52</v>
      </c>
      <c r="Q17" s="450" t="s">
        <v>378</v>
      </c>
      <c r="R17" s="11" t="s">
        <v>379</v>
      </c>
      <c r="S17" s="207" t="s">
        <v>366</v>
      </c>
      <c r="T17" s="207" t="s">
        <v>332</v>
      </c>
      <c r="U17" s="221" t="s">
        <v>659</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row>
    <row r="18" spans="1:237" s="4" customFormat="1" ht="178.5" customHeight="1" x14ac:dyDescent="0.2">
      <c r="A18" s="22">
        <f t="shared" si="0"/>
        <v>12</v>
      </c>
      <c r="B18" s="17" t="s">
        <v>92</v>
      </c>
      <c r="C18" s="23" t="s">
        <v>16</v>
      </c>
      <c r="D18" s="24" t="s">
        <v>221</v>
      </c>
      <c r="E18" s="246">
        <v>3120210</v>
      </c>
      <c r="F18" s="25" t="s">
        <v>32</v>
      </c>
      <c r="G18" s="15" t="s">
        <v>227</v>
      </c>
      <c r="H18" s="10" t="s">
        <v>28</v>
      </c>
      <c r="I18" s="27">
        <v>58288000</v>
      </c>
      <c r="J18" s="27"/>
      <c r="K18" s="493">
        <v>42602</v>
      </c>
      <c r="L18" s="494">
        <v>42668</v>
      </c>
      <c r="M18" s="494">
        <v>42668</v>
      </c>
      <c r="N18" s="6">
        <v>30</v>
      </c>
      <c r="O18" s="494">
        <v>42699</v>
      </c>
      <c r="P18" s="200" t="s">
        <v>53</v>
      </c>
      <c r="Q18" s="26" t="s">
        <v>54</v>
      </c>
      <c r="R18" s="11" t="s">
        <v>55</v>
      </c>
      <c r="S18" s="207" t="s">
        <v>366</v>
      </c>
      <c r="T18" s="136"/>
      <c r="U18" s="136"/>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row>
    <row r="19" spans="1:237" s="4" customFormat="1" ht="140.25" customHeight="1" x14ac:dyDescent="0.2">
      <c r="A19" s="22">
        <f t="shared" si="0"/>
        <v>13</v>
      </c>
      <c r="B19" s="17" t="s">
        <v>92</v>
      </c>
      <c r="C19" s="23" t="s">
        <v>16</v>
      </c>
      <c r="D19" s="24" t="s">
        <v>221</v>
      </c>
      <c r="E19" s="246">
        <v>3120210</v>
      </c>
      <c r="F19" s="25" t="s">
        <v>32</v>
      </c>
      <c r="G19" s="15" t="s">
        <v>227</v>
      </c>
      <c r="H19" s="10" t="s">
        <v>56</v>
      </c>
      <c r="I19" s="27">
        <v>34600000</v>
      </c>
      <c r="J19" s="27"/>
      <c r="K19" s="493">
        <v>42602</v>
      </c>
      <c r="L19" s="494">
        <v>42668</v>
      </c>
      <c r="M19" s="494">
        <v>42668</v>
      </c>
      <c r="N19" s="6">
        <v>30</v>
      </c>
      <c r="O19" s="494">
        <v>42699</v>
      </c>
      <c r="P19" s="200" t="s">
        <v>57</v>
      </c>
      <c r="Q19" s="26" t="s">
        <v>58</v>
      </c>
      <c r="R19" s="11" t="s">
        <v>59</v>
      </c>
      <c r="S19" s="207" t="s">
        <v>366</v>
      </c>
      <c r="T19" s="136"/>
      <c r="U19" s="136"/>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row>
    <row r="20" spans="1:237" s="4" customFormat="1" ht="76.5" customHeight="1" x14ac:dyDescent="0.2">
      <c r="A20" s="22">
        <f t="shared" si="0"/>
        <v>14</v>
      </c>
      <c r="B20" s="17" t="s">
        <v>92</v>
      </c>
      <c r="C20" s="23" t="s">
        <v>16</v>
      </c>
      <c r="D20" s="24" t="s">
        <v>221</v>
      </c>
      <c r="E20" s="246">
        <v>3120210</v>
      </c>
      <c r="F20" s="25" t="s">
        <v>32</v>
      </c>
      <c r="G20" s="15" t="s">
        <v>227</v>
      </c>
      <c r="H20" s="10" t="s">
        <v>60</v>
      </c>
      <c r="I20" s="27">
        <v>85000000</v>
      </c>
      <c r="J20" s="27"/>
      <c r="K20" s="493">
        <v>42607</v>
      </c>
      <c r="L20" s="494">
        <v>42693</v>
      </c>
      <c r="M20" s="494">
        <v>42715</v>
      </c>
      <c r="N20" s="6">
        <v>3</v>
      </c>
      <c r="O20" s="494">
        <v>42718</v>
      </c>
      <c r="P20" s="200" t="s">
        <v>61</v>
      </c>
      <c r="Q20" s="26" t="s">
        <v>62</v>
      </c>
      <c r="R20" s="11" t="s">
        <v>63</v>
      </c>
      <c r="S20" s="207" t="s">
        <v>366</v>
      </c>
      <c r="T20" s="136"/>
      <c r="U20" s="136"/>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row>
    <row r="21" spans="1:237" s="260" customFormat="1" ht="84.75" customHeight="1" x14ac:dyDescent="0.2">
      <c r="A21" s="22">
        <f t="shared" si="0"/>
        <v>15</v>
      </c>
      <c r="B21" s="17" t="s">
        <v>92</v>
      </c>
      <c r="C21" s="23" t="s">
        <v>16</v>
      </c>
      <c r="D21" s="24" t="s">
        <v>221</v>
      </c>
      <c r="E21" s="246">
        <v>3120212</v>
      </c>
      <c r="F21" s="25" t="s">
        <v>64</v>
      </c>
      <c r="G21" s="15" t="s">
        <v>33</v>
      </c>
      <c r="H21" s="10" t="s">
        <v>65</v>
      </c>
      <c r="I21" s="27">
        <v>8000000</v>
      </c>
      <c r="J21" s="27"/>
      <c r="K21" s="493">
        <v>42597</v>
      </c>
      <c r="L21" s="494">
        <v>42628</v>
      </c>
      <c r="M21" s="494">
        <v>42633</v>
      </c>
      <c r="N21" s="6">
        <v>15</v>
      </c>
      <c r="O21" s="494">
        <v>42643</v>
      </c>
      <c r="P21" s="200" t="s">
        <v>66</v>
      </c>
      <c r="Q21" s="26" t="s">
        <v>67</v>
      </c>
      <c r="R21" s="11" t="s">
        <v>68</v>
      </c>
      <c r="S21" s="207" t="s">
        <v>366</v>
      </c>
      <c r="T21" s="258"/>
      <c r="U21" s="258"/>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c r="GH21" s="259"/>
      <c r="GI21" s="259"/>
      <c r="GJ21" s="259"/>
      <c r="GK21" s="259"/>
      <c r="GL21" s="259"/>
      <c r="GM21" s="259"/>
      <c r="GN21" s="259"/>
      <c r="GO21" s="259"/>
      <c r="GP21" s="259"/>
      <c r="GQ21" s="259"/>
      <c r="GR21" s="259"/>
      <c r="GS21" s="259"/>
      <c r="GT21" s="259"/>
      <c r="GU21" s="259"/>
      <c r="GV21" s="259"/>
      <c r="GW21" s="259"/>
      <c r="GX21" s="259"/>
      <c r="GY21" s="259"/>
      <c r="GZ21" s="259"/>
      <c r="HA21" s="259"/>
      <c r="HB21" s="259"/>
      <c r="HC21" s="259"/>
      <c r="HD21" s="259"/>
      <c r="HE21" s="259"/>
      <c r="HF21" s="259"/>
      <c r="HG21" s="259"/>
      <c r="HH21" s="259"/>
      <c r="HI21" s="259"/>
      <c r="HJ21" s="259"/>
      <c r="HK21" s="259"/>
      <c r="HL21" s="259"/>
      <c r="HM21" s="259"/>
      <c r="HN21" s="259"/>
      <c r="HO21" s="259"/>
      <c r="HP21" s="259"/>
      <c r="HQ21" s="259"/>
      <c r="HR21" s="259"/>
      <c r="HS21" s="259"/>
      <c r="HT21" s="259"/>
      <c r="HU21" s="259"/>
      <c r="HV21" s="259"/>
      <c r="HW21" s="259"/>
      <c r="HX21" s="259"/>
      <c r="HY21" s="259"/>
      <c r="HZ21" s="259"/>
      <c r="IA21" s="259"/>
      <c r="IB21" s="259"/>
      <c r="IC21" s="259"/>
    </row>
    <row r="22" spans="1:237" s="4" customFormat="1" ht="89.25" customHeight="1" x14ac:dyDescent="0.2">
      <c r="A22" s="22">
        <f t="shared" si="0"/>
        <v>16</v>
      </c>
      <c r="B22" s="17" t="s">
        <v>92</v>
      </c>
      <c r="C22" s="23" t="s">
        <v>16</v>
      </c>
      <c r="D22" s="24" t="s">
        <v>221</v>
      </c>
      <c r="E22" s="246">
        <v>3120212</v>
      </c>
      <c r="F22" s="25" t="s">
        <v>64</v>
      </c>
      <c r="G22" s="15" t="s">
        <v>33</v>
      </c>
      <c r="H22" s="10" t="s">
        <v>65</v>
      </c>
      <c r="I22" s="27">
        <v>10000000</v>
      </c>
      <c r="J22" s="27"/>
      <c r="K22" s="493">
        <v>42459</v>
      </c>
      <c r="L22" s="494">
        <f>K22+60</f>
        <v>42519</v>
      </c>
      <c r="M22" s="494">
        <f>L22+5</f>
        <v>42524</v>
      </c>
      <c r="N22" s="6">
        <v>30</v>
      </c>
      <c r="O22" s="494">
        <f>M22+N22</f>
        <v>42554</v>
      </c>
      <c r="P22" s="200" t="s">
        <v>69</v>
      </c>
      <c r="Q22" s="26" t="s">
        <v>619</v>
      </c>
      <c r="R22" s="11" t="s">
        <v>70</v>
      </c>
      <c r="S22" s="207" t="s">
        <v>366</v>
      </c>
      <c r="T22" s="430" t="s">
        <v>620</v>
      </c>
      <c r="U22" s="221" t="s">
        <v>333</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row>
    <row r="23" spans="1:237" s="4" customFormat="1" ht="180" customHeight="1" x14ac:dyDescent="0.2">
      <c r="A23" s="22">
        <f t="shared" si="0"/>
        <v>17</v>
      </c>
      <c r="B23" s="17" t="s">
        <v>92</v>
      </c>
      <c r="C23" s="23" t="s">
        <v>16</v>
      </c>
      <c r="D23" s="24" t="s">
        <v>221</v>
      </c>
      <c r="E23" s="246">
        <v>3120212</v>
      </c>
      <c r="F23" s="25" t="s">
        <v>64</v>
      </c>
      <c r="G23" s="15" t="s">
        <v>33</v>
      </c>
      <c r="H23" s="10" t="s">
        <v>65</v>
      </c>
      <c r="I23" s="27">
        <v>9000000</v>
      </c>
      <c r="J23" s="27"/>
      <c r="K23" s="493">
        <v>42459</v>
      </c>
      <c r="L23" s="494">
        <v>42490</v>
      </c>
      <c r="M23" s="494">
        <v>42519</v>
      </c>
      <c r="N23" s="6">
        <v>30</v>
      </c>
      <c r="O23" s="494">
        <v>42566</v>
      </c>
      <c r="P23" s="200" t="s">
        <v>71</v>
      </c>
      <c r="Q23" s="26" t="s">
        <v>621</v>
      </c>
      <c r="R23" s="11" t="s">
        <v>72</v>
      </c>
      <c r="S23" s="207" t="s">
        <v>366</v>
      </c>
      <c r="T23" s="430" t="s">
        <v>622</v>
      </c>
      <c r="U23" s="221" t="s">
        <v>333</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row>
    <row r="24" spans="1:237" s="4" customFormat="1" ht="209.25" customHeight="1" x14ac:dyDescent="0.2">
      <c r="A24" s="22">
        <f t="shared" si="0"/>
        <v>18</v>
      </c>
      <c r="B24" s="17" t="s">
        <v>92</v>
      </c>
      <c r="C24" s="23" t="s">
        <v>16</v>
      </c>
      <c r="D24" s="24" t="s">
        <v>221</v>
      </c>
      <c r="E24" s="246">
        <v>3120212</v>
      </c>
      <c r="F24" s="25" t="s">
        <v>64</v>
      </c>
      <c r="G24" s="15" t="s">
        <v>617</v>
      </c>
      <c r="H24" s="10" t="s">
        <v>73</v>
      </c>
      <c r="I24" s="27">
        <v>31000000</v>
      </c>
      <c r="J24" s="27"/>
      <c r="K24" s="493">
        <v>42459</v>
      </c>
      <c r="L24" s="494">
        <v>42515</v>
      </c>
      <c r="M24" s="494">
        <v>42515</v>
      </c>
      <c r="N24" s="6">
        <v>90</v>
      </c>
      <c r="O24" s="494">
        <v>42606</v>
      </c>
      <c r="P24" s="200" t="s">
        <v>74</v>
      </c>
      <c r="Q24" s="26" t="s">
        <v>674</v>
      </c>
      <c r="R24" s="11" t="s">
        <v>75</v>
      </c>
      <c r="S24" s="207" t="s">
        <v>366</v>
      </c>
      <c r="T24" s="207" t="s">
        <v>618</v>
      </c>
      <c r="U24" s="221" t="s">
        <v>333</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row>
    <row r="25" spans="1:237" s="4" customFormat="1" ht="131.25" customHeight="1" x14ac:dyDescent="0.2">
      <c r="A25" s="22">
        <f t="shared" si="0"/>
        <v>19</v>
      </c>
      <c r="B25" s="17" t="s">
        <v>92</v>
      </c>
      <c r="C25" s="23" t="s">
        <v>16</v>
      </c>
      <c r="D25" s="24" t="s">
        <v>221</v>
      </c>
      <c r="E25" s="246">
        <v>3120212</v>
      </c>
      <c r="F25" s="25" t="s">
        <v>64</v>
      </c>
      <c r="G25" s="15" t="s">
        <v>33</v>
      </c>
      <c r="H25" s="10" t="s">
        <v>65</v>
      </c>
      <c r="I25" s="27">
        <v>8000000</v>
      </c>
      <c r="J25" s="27"/>
      <c r="K25" s="493">
        <v>42510</v>
      </c>
      <c r="L25" s="494">
        <v>42541</v>
      </c>
      <c r="M25" s="494">
        <v>42570</v>
      </c>
      <c r="N25" s="6">
        <v>30</v>
      </c>
      <c r="O25" s="494">
        <v>42490</v>
      </c>
      <c r="P25" s="200" t="s">
        <v>76</v>
      </c>
      <c r="Q25" s="26" t="s">
        <v>77</v>
      </c>
      <c r="R25" s="11" t="s">
        <v>78</v>
      </c>
      <c r="S25" s="207" t="s">
        <v>366</v>
      </c>
      <c r="T25" s="136"/>
      <c r="U25" s="136"/>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row>
    <row r="26" spans="1:237" s="4" customFormat="1" ht="226.5" customHeight="1" x14ac:dyDescent="0.2">
      <c r="A26" s="22">
        <f t="shared" si="0"/>
        <v>20</v>
      </c>
      <c r="B26" s="17" t="s">
        <v>92</v>
      </c>
      <c r="C26" s="23" t="s">
        <v>16</v>
      </c>
      <c r="D26" s="24" t="s">
        <v>221</v>
      </c>
      <c r="E26" s="246">
        <v>3120212</v>
      </c>
      <c r="F26" s="25" t="s">
        <v>64</v>
      </c>
      <c r="G26" s="15" t="s">
        <v>79</v>
      </c>
      <c r="H26" s="10" t="s">
        <v>28</v>
      </c>
      <c r="I26" s="373">
        <v>31025430</v>
      </c>
      <c r="J26" s="27"/>
      <c r="K26" s="493">
        <v>42461</v>
      </c>
      <c r="L26" s="494">
        <v>42505</v>
      </c>
      <c r="M26" s="494">
        <v>42515</v>
      </c>
      <c r="N26" s="6">
        <v>10</v>
      </c>
      <c r="O26" s="494">
        <v>42526</v>
      </c>
      <c r="P26" s="200" t="s">
        <v>692</v>
      </c>
      <c r="Q26" s="26" t="s">
        <v>675</v>
      </c>
      <c r="R26" s="11" t="s">
        <v>691</v>
      </c>
      <c r="S26" s="207" t="s">
        <v>366</v>
      </c>
      <c r="T26" s="207"/>
      <c r="U26" s="207"/>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row>
    <row r="27" spans="1:237" s="4" customFormat="1" ht="156.75" customHeight="1" x14ac:dyDescent="0.2">
      <c r="A27" s="22">
        <f t="shared" si="0"/>
        <v>21</v>
      </c>
      <c r="B27" s="17" t="s">
        <v>92</v>
      </c>
      <c r="C27" s="23" t="s">
        <v>16</v>
      </c>
      <c r="D27" s="24" t="s">
        <v>221</v>
      </c>
      <c r="E27" s="246">
        <v>3120212</v>
      </c>
      <c r="F27" s="25" t="s">
        <v>64</v>
      </c>
      <c r="G27" s="15" t="s">
        <v>33</v>
      </c>
      <c r="H27" s="10" t="s">
        <v>73</v>
      </c>
      <c r="I27" s="334">
        <v>12261060</v>
      </c>
      <c r="J27" s="334">
        <v>12261060</v>
      </c>
      <c r="K27" s="493">
        <v>42405</v>
      </c>
      <c r="L27" s="494">
        <v>42444</v>
      </c>
      <c r="M27" s="494">
        <v>42464</v>
      </c>
      <c r="N27" s="6">
        <v>365</v>
      </c>
      <c r="O27" s="494">
        <v>42828</v>
      </c>
      <c r="P27" s="200" t="s">
        <v>80</v>
      </c>
      <c r="Q27" s="26" t="s">
        <v>566</v>
      </c>
      <c r="R27" s="11" t="s">
        <v>81</v>
      </c>
      <c r="S27" s="207" t="s">
        <v>366</v>
      </c>
      <c r="T27" s="372" t="s">
        <v>598</v>
      </c>
      <c r="U27" s="207" t="s">
        <v>340</v>
      </c>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row>
    <row r="28" spans="1:237" s="4" customFormat="1" ht="140.25" customHeight="1" x14ac:dyDescent="0.2">
      <c r="A28" s="22">
        <f t="shared" si="0"/>
        <v>22</v>
      </c>
      <c r="B28" s="17" t="s">
        <v>92</v>
      </c>
      <c r="C28" s="23" t="s">
        <v>16</v>
      </c>
      <c r="D28" s="24" t="s">
        <v>238</v>
      </c>
      <c r="E28" s="23" t="s">
        <v>648</v>
      </c>
      <c r="F28" s="25" t="s">
        <v>64</v>
      </c>
      <c r="G28" s="15" t="s">
        <v>83</v>
      </c>
      <c r="H28" s="10" t="s">
        <v>228</v>
      </c>
      <c r="I28" s="27">
        <v>44000000</v>
      </c>
      <c r="J28" s="27">
        <v>44000000</v>
      </c>
      <c r="K28" s="493">
        <v>42418</v>
      </c>
      <c r="L28" s="494">
        <v>42439</v>
      </c>
      <c r="M28" s="495">
        <v>42444</v>
      </c>
      <c r="N28" s="22">
        <v>210</v>
      </c>
      <c r="O28" s="495">
        <v>42657</v>
      </c>
      <c r="P28" s="200" t="s">
        <v>84</v>
      </c>
      <c r="Q28" s="26" t="s">
        <v>540</v>
      </c>
      <c r="R28" s="11" t="s">
        <v>85</v>
      </c>
      <c r="S28" s="207" t="s">
        <v>366</v>
      </c>
      <c r="T28" s="372" t="s">
        <v>596</v>
      </c>
      <c r="U28" s="207" t="s">
        <v>340</v>
      </c>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row>
    <row r="29" spans="1:237" s="4" customFormat="1" ht="89.25" x14ac:dyDescent="0.2">
      <c r="A29" s="22">
        <f t="shared" si="0"/>
        <v>23</v>
      </c>
      <c r="B29" s="17" t="s">
        <v>92</v>
      </c>
      <c r="C29" s="23" t="s">
        <v>16</v>
      </c>
      <c r="D29" s="24" t="s">
        <v>221</v>
      </c>
      <c r="E29" s="23">
        <v>312020501</v>
      </c>
      <c r="F29" s="25" t="s">
        <v>86</v>
      </c>
      <c r="G29" s="15" t="s">
        <v>33</v>
      </c>
      <c r="H29" s="10" t="s">
        <v>73</v>
      </c>
      <c r="I29" s="27">
        <v>5000000</v>
      </c>
      <c r="J29" s="27"/>
      <c r="K29" s="493">
        <v>42505</v>
      </c>
      <c r="L29" s="494">
        <v>42551</v>
      </c>
      <c r="M29" s="494">
        <v>42552</v>
      </c>
      <c r="N29" s="6">
        <v>15</v>
      </c>
      <c r="O29" s="494">
        <v>42566</v>
      </c>
      <c r="P29" s="200" t="s">
        <v>87</v>
      </c>
      <c r="Q29" s="26" t="s">
        <v>88</v>
      </c>
      <c r="R29" s="11" t="s">
        <v>89</v>
      </c>
      <c r="S29" s="207" t="s">
        <v>366</v>
      </c>
      <c r="T29" s="136"/>
      <c r="U29" s="136"/>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row>
    <row r="30" spans="1:237" s="4" customFormat="1" ht="171.75" customHeight="1" x14ac:dyDescent="0.2">
      <c r="A30" s="22">
        <f t="shared" si="0"/>
        <v>24</v>
      </c>
      <c r="B30" s="17" t="s">
        <v>92</v>
      </c>
      <c r="C30" s="23" t="s">
        <v>16</v>
      </c>
      <c r="D30" s="24" t="s">
        <v>221</v>
      </c>
      <c r="E30" s="23">
        <v>312020501</v>
      </c>
      <c r="F30" s="25" t="s">
        <v>86</v>
      </c>
      <c r="G30" s="15" t="s">
        <v>33</v>
      </c>
      <c r="H30" s="10" t="s">
        <v>65</v>
      </c>
      <c r="I30" s="27">
        <v>20000000</v>
      </c>
      <c r="J30" s="27"/>
      <c r="K30" s="493">
        <v>42461</v>
      </c>
      <c r="L30" s="494">
        <v>42515</v>
      </c>
      <c r="M30" s="494">
        <f>L30+5</f>
        <v>42520</v>
      </c>
      <c r="N30" s="6">
        <v>30</v>
      </c>
      <c r="O30" s="494">
        <f>M30+N30</f>
        <v>42550</v>
      </c>
      <c r="P30" s="200" t="s">
        <v>90</v>
      </c>
      <c r="Q30" s="26" t="s">
        <v>671</v>
      </c>
      <c r="R30" s="11" t="s">
        <v>91</v>
      </c>
      <c r="S30" s="207" t="s">
        <v>366</v>
      </c>
      <c r="T30" s="207"/>
      <c r="U30" s="207"/>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row>
    <row r="31" spans="1:237" s="4" customFormat="1" ht="158.25" customHeight="1" x14ac:dyDescent="0.2">
      <c r="A31" s="22">
        <f t="shared" si="0"/>
        <v>25</v>
      </c>
      <c r="B31" s="10" t="s">
        <v>93</v>
      </c>
      <c r="C31" s="227">
        <v>31202</v>
      </c>
      <c r="D31" s="24" t="s">
        <v>221</v>
      </c>
      <c r="E31" s="30">
        <v>312020901</v>
      </c>
      <c r="F31" s="261" t="s">
        <v>97</v>
      </c>
      <c r="G31" s="200" t="s">
        <v>83</v>
      </c>
      <c r="H31" s="201" t="s">
        <v>28</v>
      </c>
      <c r="I31" s="27">
        <v>200000000</v>
      </c>
      <c r="J31" s="27"/>
      <c r="K31" s="496">
        <v>42480</v>
      </c>
      <c r="L31" s="496">
        <f>K31+60</f>
        <v>42540</v>
      </c>
      <c r="M31" s="496">
        <f>L31+5</f>
        <v>42545</v>
      </c>
      <c r="N31" s="483">
        <v>60</v>
      </c>
      <c r="O31" s="496">
        <f>M31+N31</f>
        <v>42605</v>
      </c>
      <c r="P31" s="200" t="s">
        <v>95</v>
      </c>
      <c r="Q31" s="482" t="s">
        <v>680</v>
      </c>
      <c r="R31" s="11" t="s">
        <v>96</v>
      </c>
      <c r="S31" s="207" t="s">
        <v>380</v>
      </c>
      <c r="T31" s="136"/>
      <c r="U31" s="136"/>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row>
    <row r="32" spans="1:237" s="4" customFormat="1" ht="108.75" customHeight="1" x14ac:dyDescent="0.2">
      <c r="A32" s="22">
        <f t="shared" si="0"/>
        <v>26</v>
      </c>
      <c r="B32" s="10" t="s">
        <v>93</v>
      </c>
      <c r="C32" s="227">
        <v>31202</v>
      </c>
      <c r="D32" s="24" t="s">
        <v>221</v>
      </c>
      <c r="E32" s="30">
        <v>312020901</v>
      </c>
      <c r="F32" s="261" t="s">
        <v>97</v>
      </c>
      <c r="G32" s="200" t="s">
        <v>83</v>
      </c>
      <c r="H32" s="208" t="s">
        <v>682</v>
      </c>
      <c r="I32" s="27">
        <v>76250000</v>
      </c>
      <c r="J32" s="27"/>
      <c r="K32" s="496">
        <v>42480</v>
      </c>
      <c r="L32" s="496">
        <f>K32+60</f>
        <v>42540</v>
      </c>
      <c r="M32" s="496">
        <f>L32+5</f>
        <v>42545</v>
      </c>
      <c r="N32" s="483">
        <v>30</v>
      </c>
      <c r="O32" s="496">
        <f>M32+N32</f>
        <v>42575</v>
      </c>
      <c r="P32" s="9" t="s">
        <v>95</v>
      </c>
      <c r="Q32" s="482" t="s">
        <v>683</v>
      </c>
      <c r="R32" s="206" t="s">
        <v>681</v>
      </c>
      <c r="S32" s="207" t="s">
        <v>380</v>
      </c>
      <c r="T32" s="136"/>
      <c r="U32" s="136"/>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row>
    <row r="33" spans="1:237" s="4" customFormat="1" ht="117" customHeight="1" x14ac:dyDescent="0.2">
      <c r="A33" s="22">
        <f t="shared" si="0"/>
        <v>27</v>
      </c>
      <c r="B33" s="201" t="s">
        <v>98</v>
      </c>
      <c r="C33" s="202" t="s">
        <v>152</v>
      </c>
      <c r="D33" s="24" t="s">
        <v>111</v>
      </c>
      <c r="E33" s="203">
        <v>311020301</v>
      </c>
      <c r="F33" s="25" t="s">
        <v>82</v>
      </c>
      <c r="G33" s="15" t="s">
        <v>83</v>
      </c>
      <c r="H33" s="10" t="s">
        <v>228</v>
      </c>
      <c r="I33" s="328">
        <v>6781360</v>
      </c>
      <c r="J33" s="328">
        <v>6781360</v>
      </c>
      <c r="K33" s="497">
        <v>42387</v>
      </c>
      <c r="L33" s="497">
        <v>42417</v>
      </c>
      <c r="M33" s="497">
        <v>42457</v>
      </c>
      <c r="N33" s="22" t="s">
        <v>522</v>
      </c>
      <c r="O33" s="497">
        <v>42460</v>
      </c>
      <c r="P33" s="225" t="s">
        <v>523</v>
      </c>
      <c r="Q33" s="26" t="s">
        <v>520</v>
      </c>
      <c r="R33" s="206" t="s">
        <v>376</v>
      </c>
      <c r="S33" s="207" t="s">
        <v>375</v>
      </c>
      <c r="T33" s="372" t="s">
        <v>521</v>
      </c>
      <c r="U33" s="207" t="s">
        <v>340</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row>
    <row r="34" spans="1:237" s="238" customFormat="1" ht="109.5" customHeight="1" x14ac:dyDescent="0.2">
      <c r="A34" s="22">
        <f t="shared" si="0"/>
        <v>28</v>
      </c>
      <c r="B34" s="208" t="s">
        <v>99</v>
      </c>
      <c r="C34" s="209">
        <v>33</v>
      </c>
      <c r="D34" s="10" t="s">
        <v>24</v>
      </c>
      <c r="E34" s="214" t="s">
        <v>100</v>
      </c>
      <c r="F34" s="9" t="s">
        <v>101</v>
      </c>
      <c r="G34" s="214" t="s">
        <v>631</v>
      </c>
      <c r="H34" s="227" t="s">
        <v>65</v>
      </c>
      <c r="I34" s="27">
        <v>150000000</v>
      </c>
      <c r="J34" s="27"/>
      <c r="K34" s="493">
        <v>42459</v>
      </c>
      <c r="L34" s="493">
        <v>42493</v>
      </c>
      <c r="M34" s="493">
        <f>L34+5</f>
        <v>42498</v>
      </c>
      <c r="N34" s="6">
        <v>90</v>
      </c>
      <c r="O34" s="493">
        <f>M34+N34</f>
        <v>42588</v>
      </c>
      <c r="P34" s="233">
        <v>81112502</v>
      </c>
      <c r="Q34" s="234" t="s">
        <v>630</v>
      </c>
      <c r="R34" s="235" t="s">
        <v>345</v>
      </c>
      <c r="S34" s="241" t="s">
        <v>377</v>
      </c>
      <c r="T34" s="241" t="s">
        <v>686</v>
      </c>
      <c r="U34" s="221" t="s">
        <v>333</v>
      </c>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37"/>
      <c r="HX34" s="237"/>
      <c r="HY34" s="237"/>
      <c r="HZ34" s="237"/>
      <c r="IA34" s="237"/>
      <c r="IB34" s="237"/>
      <c r="IC34" s="237"/>
    </row>
    <row r="35" spans="1:237" s="238" customFormat="1" ht="76.5" customHeight="1" x14ac:dyDescent="0.2">
      <c r="A35" s="22">
        <f t="shared" si="0"/>
        <v>29</v>
      </c>
      <c r="B35" s="208" t="s">
        <v>99</v>
      </c>
      <c r="C35" s="209">
        <v>33</v>
      </c>
      <c r="D35" s="10" t="s">
        <v>24</v>
      </c>
      <c r="E35" s="214" t="s">
        <v>100</v>
      </c>
      <c r="F35" s="9" t="s">
        <v>101</v>
      </c>
      <c r="G35" s="214" t="s">
        <v>83</v>
      </c>
      <c r="H35" s="209" t="s">
        <v>28</v>
      </c>
      <c r="I35" s="27">
        <v>400000000</v>
      </c>
      <c r="J35" s="27"/>
      <c r="K35" s="493">
        <v>42475</v>
      </c>
      <c r="L35" s="493">
        <v>42495</v>
      </c>
      <c r="M35" s="493">
        <v>42500</v>
      </c>
      <c r="N35" s="6">
        <v>365</v>
      </c>
      <c r="O35" s="493">
        <v>42855</v>
      </c>
      <c r="P35" s="239" t="s">
        <v>102</v>
      </c>
      <c r="Q35" s="10" t="s">
        <v>263</v>
      </c>
      <c r="R35" s="240" t="s">
        <v>103</v>
      </c>
      <c r="S35" s="241" t="s">
        <v>377</v>
      </c>
      <c r="T35" s="236"/>
      <c r="U35" s="236"/>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37"/>
      <c r="GN35" s="237"/>
      <c r="GO35" s="237"/>
      <c r="GP35" s="237"/>
      <c r="GQ35" s="237"/>
      <c r="GR35" s="237"/>
      <c r="GS35" s="237"/>
      <c r="GT35" s="237"/>
      <c r="GU35" s="237"/>
      <c r="GV35" s="237"/>
      <c r="GW35" s="237"/>
      <c r="GX35" s="237"/>
      <c r="GY35" s="237"/>
      <c r="GZ35" s="237"/>
      <c r="HA35" s="237"/>
      <c r="HB35" s="237"/>
      <c r="HC35" s="237"/>
      <c r="HD35" s="237"/>
      <c r="HE35" s="237"/>
      <c r="HF35" s="237"/>
      <c r="HG35" s="237"/>
      <c r="HH35" s="237"/>
      <c r="HI35" s="237"/>
      <c r="HJ35" s="237"/>
      <c r="HK35" s="237"/>
      <c r="HL35" s="237"/>
      <c r="HM35" s="237"/>
      <c r="HN35" s="237"/>
      <c r="HO35" s="237"/>
      <c r="HP35" s="237"/>
      <c r="HQ35" s="237"/>
      <c r="HR35" s="237"/>
      <c r="HS35" s="237"/>
      <c r="HT35" s="237"/>
      <c r="HU35" s="237"/>
      <c r="HV35" s="237"/>
      <c r="HW35" s="237"/>
      <c r="HX35" s="237"/>
      <c r="HY35" s="237"/>
      <c r="HZ35" s="237"/>
      <c r="IA35" s="237"/>
      <c r="IB35" s="237"/>
      <c r="IC35" s="237"/>
    </row>
    <row r="36" spans="1:237" s="238" customFormat="1" ht="131.25" customHeight="1" x14ac:dyDescent="0.2">
      <c r="A36" s="22">
        <f t="shared" si="0"/>
        <v>30</v>
      </c>
      <c r="B36" s="208" t="s">
        <v>99</v>
      </c>
      <c r="C36" s="209">
        <v>33</v>
      </c>
      <c r="D36" s="10" t="s">
        <v>24</v>
      </c>
      <c r="E36" s="214" t="s">
        <v>100</v>
      </c>
      <c r="F36" s="9" t="s">
        <v>101</v>
      </c>
      <c r="G36" s="214" t="s">
        <v>83</v>
      </c>
      <c r="H36" s="209" t="s">
        <v>28</v>
      </c>
      <c r="I36" s="27">
        <v>198000000</v>
      </c>
      <c r="J36" s="27"/>
      <c r="K36" s="498">
        <v>42468</v>
      </c>
      <c r="L36" s="493">
        <f>K36+30</f>
        <v>42498</v>
      </c>
      <c r="M36" s="493">
        <f>L36+5</f>
        <v>42503</v>
      </c>
      <c r="N36" s="6">
        <v>300</v>
      </c>
      <c r="O36" s="493">
        <f>M36+N36</f>
        <v>42803</v>
      </c>
      <c r="P36" s="239" t="s">
        <v>104</v>
      </c>
      <c r="Q36" s="10" t="s">
        <v>610</v>
      </c>
      <c r="R36" s="240" t="s">
        <v>599</v>
      </c>
      <c r="S36" s="241" t="s">
        <v>377</v>
      </c>
      <c r="T36" s="236"/>
      <c r="U36" s="236"/>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s="237"/>
      <c r="FJ36" s="237"/>
      <c r="FK36" s="237"/>
      <c r="FL36" s="237"/>
      <c r="FM36" s="237"/>
      <c r="FN36" s="237"/>
      <c r="FO36" s="237"/>
      <c r="FP36" s="237"/>
      <c r="FQ36" s="237"/>
      <c r="FR36" s="237"/>
      <c r="FS36" s="237"/>
      <c r="FT36" s="237"/>
      <c r="FU36" s="237"/>
      <c r="FV36" s="237"/>
      <c r="FW36" s="237"/>
      <c r="FX36" s="237"/>
      <c r="FY36" s="237"/>
      <c r="FZ36" s="237"/>
      <c r="GA36" s="237"/>
      <c r="GB36" s="237"/>
      <c r="GC36" s="237"/>
      <c r="GD36" s="237"/>
      <c r="GE36" s="237"/>
      <c r="GF36" s="237"/>
      <c r="GG36" s="237"/>
      <c r="GH36" s="237"/>
      <c r="GI36" s="237"/>
      <c r="GJ36" s="237"/>
      <c r="GK36" s="237"/>
      <c r="GL36" s="237"/>
      <c r="GM36" s="237"/>
      <c r="GN36" s="237"/>
      <c r="GO36" s="237"/>
      <c r="GP36" s="237"/>
      <c r="GQ36" s="237"/>
      <c r="GR36" s="237"/>
      <c r="GS36" s="237"/>
      <c r="GT36" s="237"/>
      <c r="GU36" s="237"/>
      <c r="GV36" s="237"/>
      <c r="GW36" s="237"/>
      <c r="GX36" s="237"/>
      <c r="GY36" s="237"/>
      <c r="GZ36" s="237"/>
      <c r="HA36" s="237"/>
      <c r="HB36" s="237"/>
      <c r="HC36" s="237"/>
      <c r="HD36" s="237"/>
      <c r="HE36" s="237"/>
      <c r="HF36" s="237"/>
      <c r="HG36" s="237"/>
      <c r="HH36" s="237"/>
      <c r="HI36" s="237"/>
      <c r="HJ36" s="237"/>
      <c r="HK36" s="237"/>
      <c r="HL36" s="237"/>
      <c r="HM36" s="237"/>
      <c r="HN36" s="237"/>
      <c r="HO36" s="237"/>
      <c r="HP36" s="237"/>
      <c r="HQ36" s="237"/>
      <c r="HR36" s="237"/>
      <c r="HS36" s="237"/>
      <c r="HT36" s="237"/>
      <c r="HU36" s="237"/>
      <c r="HV36" s="237"/>
      <c r="HW36" s="237"/>
      <c r="HX36" s="237"/>
      <c r="HY36" s="237"/>
      <c r="HZ36" s="237"/>
      <c r="IA36" s="237"/>
      <c r="IB36" s="237"/>
      <c r="IC36" s="237"/>
    </row>
    <row r="37" spans="1:237" s="238" customFormat="1" ht="51" customHeight="1" x14ac:dyDescent="0.2">
      <c r="A37" s="22">
        <f t="shared" si="0"/>
        <v>31</v>
      </c>
      <c r="B37" s="208" t="s">
        <v>99</v>
      </c>
      <c r="C37" s="209">
        <v>33</v>
      </c>
      <c r="D37" s="10" t="s">
        <v>24</v>
      </c>
      <c r="E37" s="214" t="s">
        <v>100</v>
      </c>
      <c r="F37" s="9" t="s">
        <v>101</v>
      </c>
      <c r="G37" s="214" t="s">
        <v>226</v>
      </c>
      <c r="H37" s="209" t="s">
        <v>28</v>
      </c>
      <c r="I37" s="27">
        <v>120000000</v>
      </c>
      <c r="J37" s="27"/>
      <c r="K37" s="493">
        <v>42465</v>
      </c>
      <c r="L37" s="493">
        <v>42505</v>
      </c>
      <c r="M37" s="493">
        <v>42510</v>
      </c>
      <c r="N37" s="6">
        <v>365</v>
      </c>
      <c r="O37" s="493">
        <v>42865</v>
      </c>
      <c r="P37" s="233">
        <v>321519</v>
      </c>
      <c r="Q37" s="10" t="s">
        <v>290</v>
      </c>
      <c r="R37" s="11" t="s">
        <v>105</v>
      </c>
      <c r="S37" s="241" t="s">
        <v>377</v>
      </c>
      <c r="T37" s="236"/>
      <c r="U37" s="236"/>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c r="EI37" s="237"/>
      <c r="EJ37" s="237"/>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37"/>
      <c r="FG37" s="237"/>
      <c r="FH37" s="237"/>
      <c r="FI37" s="237"/>
      <c r="FJ37" s="237"/>
      <c r="FK37" s="237"/>
      <c r="FL37" s="237"/>
      <c r="FM37" s="237"/>
      <c r="FN37" s="237"/>
      <c r="FO37" s="237"/>
      <c r="FP37" s="237"/>
      <c r="FQ37" s="237"/>
      <c r="FR37" s="237"/>
      <c r="FS37" s="237"/>
      <c r="FT37" s="237"/>
      <c r="FU37" s="237"/>
      <c r="FV37" s="237"/>
      <c r="FW37" s="237"/>
      <c r="FX37" s="237"/>
      <c r="FY37" s="237"/>
      <c r="FZ37" s="237"/>
      <c r="GA37" s="237"/>
      <c r="GB37" s="237"/>
      <c r="GC37" s="237"/>
      <c r="GD37" s="237"/>
      <c r="GE37" s="237"/>
      <c r="GF37" s="237"/>
      <c r="GG37" s="237"/>
      <c r="GH37" s="237"/>
      <c r="GI37" s="237"/>
      <c r="GJ37" s="237"/>
      <c r="GK37" s="237"/>
      <c r="GL37" s="237"/>
      <c r="GM37" s="237"/>
      <c r="GN37" s="237"/>
      <c r="GO37" s="237"/>
      <c r="GP37" s="237"/>
      <c r="GQ37" s="237"/>
      <c r="GR37" s="237"/>
      <c r="GS37" s="237"/>
      <c r="GT37" s="237"/>
      <c r="GU37" s="237"/>
      <c r="GV37" s="237"/>
      <c r="GW37" s="237"/>
      <c r="GX37" s="237"/>
      <c r="GY37" s="237"/>
      <c r="GZ37" s="237"/>
      <c r="HA37" s="237"/>
      <c r="HB37" s="237"/>
      <c r="HC37" s="237"/>
      <c r="HD37" s="237"/>
      <c r="HE37" s="237"/>
      <c r="HF37" s="237"/>
      <c r="HG37" s="237"/>
      <c r="HH37" s="237"/>
      <c r="HI37" s="237"/>
      <c r="HJ37" s="237"/>
      <c r="HK37" s="237"/>
      <c r="HL37" s="237"/>
      <c r="HM37" s="237"/>
      <c r="HN37" s="237"/>
      <c r="HO37" s="237"/>
      <c r="HP37" s="237"/>
      <c r="HQ37" s="237"/>
      <c r="HR37" s="237"/>
      <c r="HS37" s="237"/>
      <c r="HT37" s="237"/>
      <c r="HU37" s="237"/>
      <c r="HV37" s="237"/>
      <c r="HW37" s="237"/>
      <c r="HX37" s="237"/>
      <c r="HY37" s="237"/>
      <c r="HZ37" s="237"/>
      <c r="IA37" s="237"/>
      <c r="IB37" s="237"/>
      <c r="IC37" s="237"/>
    </row>
    <row r="38" spans="1:237" s="238" customFormat="1" ht="63.75" customHeight="1" x14ac:dyDescent="0.2">
      <c r="A38" s="22">
        <f t="shared" si="0"/>
        <v>32</v>
      </c>
      <c r="B38" s="208" t="s">
        <v>99</v>
      </c>
      <c r="C38" s="209">
        <v>33</v>
      </c>
      <c r="D38" s="10" t="s">
        <v>24</v>
      </c>
      <c r="E38" s="214" t="s">
        <v>100</v>
      </c>
      <c r="F38" s="9" t="s">
        <v>101</v>
      </c>
      <c r="G38" s="214" t="s">
        <v>27</v>
      </c>
      <c r="H38" s="209" t="s">
        <v>65</v>
      </c>
      <c r="I38" s="27">
        <v>100000000</v>
      </c>
      <c r="J38" s="27"/>
      <c r="K38" s="493">
        <v>42495</v>
      </c>
      <c r="L38" s="493">
        <v>42536</v>
      </c>
      <c r="M38" s="493">
        <v>42541</v>
      </c>
      <c r="N38" s="6">
        <v>120</v>
      </c>
      <c r="O38" s="493">
        <v>42656</v>
      </c>
      <c r="P38" s="233"/>
      <c r="Q38" s="10" t="s">
        <v>548</v>
      </c>
      <c r="R38" s="11" t="s">
        <v>106</v>
      </c>
      <c r="S38" s="241" t="s">
        <v>377</v>
      </c>
      <c r="T38" s="236"/>
      <c r="U38" s="236"/>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c r="DU38" s="237"/>
      <c r="DV38" s="237"/>
      <c r="DW38" s="237"/>
      <c r="DX38" s="237"/>
      <c r="DY38" s="237"/>
      <c r="DZ38" s="237"/>
      <c r="EA38" s="237"/>
      <c r="EB38" s="237"/>
      <c r="EC38" s="237"/>
      <c r="ED38" s="237"/>
      <c r="EE38" s="237"/>
      <c r="EF38" s="237"/>
      <c r="EG38" s="237"/>
      <c r="EH38" s="237"/>
      <c r="EI38" s="237"/>
      <c r="EJ38" s="237"/>
      <c r="EK38" s="237"/>
      <c r="EL38" s="237"/>
      <c r="EM38" s="237"/>
      <c r="EN38" s="237"/>
      <c r="EO38" s="237"/>
      <c r="EP38" s="237"/>
      <c r="EQ38" s="237"/>
      <c r="ER38" s="237"/>
      <c r="ES38" s="237"/>
      <c r="ET38" s="237"/>
      <c r="EU38" s="237"/>
      <c r="EV38" s="237"/>
      <c r="EW38" s="237"/>
      <c r="EX38" s="237"/>
      <c r="EY38" s="237"/>
      <c r="EZ38" s="237"/>
      <c r="FA38" s="237"/>
      <c r="FB38" s="237"/>
      <c r="FC38" s="237"/>
      <c r="FD38" s="237"/>
      <c r="FE38" s="237"/>
      <c r="FF38" s="237"/>
      <c r="FG38" s="237"/>
      <c r="FH38" s="237"/>
      <c r="FI38" s="237"/>
      <c r="FJ38" s="237"/>
      <c r="FK38" s="237"/>
      <c r="FL38" s="237"/>
      <c r="FM38" s="237"/>
      <c r="FN38" s="237"/>
      <c r="FO38" s="237"/>
      <c r="FP38" s="237"/>
      <c r="FQ38" s="237"/>
      <c r="FR38" s="237"/>
      <c r="FS38" s="237"/>
      <c r="FT38" s="237"/>
      <c r="FU38" s="237"/>
      <c r="FV38" s="237"/>
      <c r="FW38" s="237"/>
      <c r="FX38" s="237"/>
      <c r="FY38" s="237"/>
      <c r="FZ38" s="237"/>
      <c r="GA38" s="237"/>
      <c r="GB38" s="237"/>
      <c r="GC38" s="237"/>
      <c r="GD38" s="237"/>
      <c r="GE38" s="237"/>
      <c r="GF38" s="237"/>
      <c r="GG38" s="237"/>
      <c r="GH38" s="237"/>
      <c r="GI38" s="237"/>
      <c r="GJ38" s="237"/>
      <c r="GK38" s="237"/>
      <c r="GL38" s="237"/>
      <c r="GM38" s="237"/>
      <c r="GN38" s="237"/>
      <c r="GO38" s="237"/>
      <c r="GP38" s="237"/>
      <c r="GQ38" s="237"/>
      <c r="GR38" s="237"/>
      <c r="GS38" s="237"/>
      <c r="GT38" s="237"/>
      <c r="GU38" s="237"/>
      <c r="GV38" s="237"/>
      <c r="GW38" s="237"/>
      <c r="GX38" s="237"/>
      <c r="GY38" s="237"/>
      <c r="GZ38" s="237"/>
      <c r="HA38" s="237"/>
      <c r="HB38" s="237"/>
      <c r="HC38" s="237"/>
      <c r="HD38" s="237"/>
      <c r="HE38" s="237"/>
      <c r="HF38" s="237"/>
      <c r="HG38" s="237"/>
      <c r="HH38" s="237"/>
      <c r="HI38" s="237"/>
      <c r="HJ38" s="237"/>
      <c r="HK38" s="237"/>
      <c r="HL38" s="237"/>
      <c r="HM38" s="237"/>
      <c r="HN38" s="237"/>
      <c r="HO38" s="237"/>
      <c r="HP38" s="237"/>
      <c r="HQ38" s="237"/>
      <c r="HR38" s="237"/>
      <c r="HS38" s="237"/>
      <c r="HT38" s="237"/>
      <c r="HU38" s="237"/>
      <c r="HV38" s="237"/>
      <c r="HW38" s="237"/>
      <c r="HX38" s="237"/>
      <c r="HY38" s="237"/>
      <c r="HZ38" s="237"/>
      <c r="IA38" s="237"/>
      <c r="IB38" s="237"/>
      <c r="IC38" s="237"/>
    </row>
    <row r="39" spans="1:237" s="238" customFormat="1" ht="89.25" customHeight="1" x14ac:dyDescent="0.2">
      <c r="A39" s="22">
        <f t="shared" si="0"/>
        <v>33</v>
      </c>
      <c r="B39" s="208" t="s">
        <v>99</v>
      </c>
      <c r="C39" s="209">
        <v>33</v>
      </c>
      <c r="D39" s="10" t="s">
        <v>24</v>
      </c>
      <c r="E39" s="214" t="s">
        <v>100</v>
      </c>
      <c r="F39" s="9" t="s">
        <v>101</v>
      </c>
      <c r="G39" s="209" t="s">
        <v>107</v>
      </c>
      <c r="H39" s="209" t="s">
        <v>225</v>
      </c>
      <c r="I39" s="27">
        <v>342000000</v>
      </c>
      <c r="J39" s="27"/>
      <c r="K39" s="493">
        <v>42465</v>
      </c>
      <c r="L39" s="493">
        <v>42526</v>
      </c>
      <c r="M39" s="493">
        <v>42531</v>
      </c>
      <c r="N39" s="6">
        <v>365</v>
      </c>
      <c r="O39" s="493">
        <v>42550</v>
      </c>
      <c r="P39" s="233">
        <v>81111811</v>
      </c>
      <c r="Q39" s="10" t="s">
        <v>265</v>
      </c>
      <c r="R39" s="240" t="s">
        <v>108</v>
      </c>
      <c r="S39" s="241" t="s">
        <v>377</v>
      </c>
      <c r="T39" s="236"/>
      <c r="U39" s="236"/>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37"/>
      <c r="CM39" s="237"/>
      <c r="CN39" s="237"/>
      <c r="CO39" s="237"/>
      <c r="CP39" s="237"/>
      <c r="CQ39" s="237"/>
      <c r="CR39" s="237"/>
      <c r="CS39" s="237"/>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37"/>
      <c r="DT39" s="237"/>
      <c r="DU39" s="237"/>
      <c r="DV39" s="237"/>
      <c r="DW39" s="237"/>
      <c r="DX39" s="237"/>
      <c r="DY39" s="237"/>
      <c r="DZ39" s="237"/>
      <c r="EA39" s="237"/>
      <c r="EB39" s="237"/>
      <c r="EC39" s="237"/>
      <c r="ED39" s="237"/>
      <c r="EE39" s="237"/>
      <c r="EF39" s="237"/>
      <c r="EG39" s="237"/>
      <c r="EH39" s="237"/>
      <c r="EI39" s="237"/>
      <c r="EJ39" s="237"/>
      <c r="EK39" s="237"/>
      <c r="EL39" s="237"/>
      <c r="EM39" s="237"/>
      <c r="EN39" s="237"/>
      <c r="EO39" s="237"/>
      <c r="EP39" s="237"/>
      <c r="EQ39" s="237"/>
      <c r="ER39" s="237"/>
      <c r="ES39" s="237"/>
      <c r="ET39" s="237"/>
      <c r="EU39" s="237"/>
      <c r="EV39" s="237"/>
      <c r="EW39" s="237"/>
      <c r="EX39" s="237"/>
      <c r="EY39" s="237"/>
      <c r="EZ39" s="237"/>
      <c r="FA39" s="237"/>
      <c r="FB39" s="237"/>
      <c r="FC39" s="237"/>
      <c r="FD39" s="237"/>
      <c r="FE39" s="237"/>
      <c r="FF39" s="237"/>
      <c r="FG39" s="237"/>
      <c r="FH39" s="237"/>
      <c r="FI39" s="237"/>
      <c r="FJ39" s="237"/>
      <c r="FK39" s="237"/>
      <c r="FL39" s="237"/>
      <c r="FM39" s="237"/>
      <c r="FN39" s="237"/>
      <c r="FO39" s="237"/>
      <c r="FP39" s="237"/>
      <c r="FQ39" s="237"/>
      <c r="FR39" s="237"/>
      <c r="FS39" s="237"/>
      <c r="FT39" s="237"/>
      <c r="FU39" s="237"/>
      <c r="FV39" s="237"/>
      <c r="FW39" s="237"/>
      <c r="FX39" s="237"/>
      <c r="FY39" s="237"/>
      <c r="FZ39" s="237"/>
      <c r="GA39" s="237"/>
      <c r="GB39" s="237"/>
      <c r="GC39" s="237"/>
      <c r="GD39" s="237"/>
      <c r="GE39" s="237"/>
      <c r="GF39" s="237"/>
      <c r="GG39" s="237"/>
      <c r="GH39" s="237"/>
      <c r="GI39" s="237"/>
      <c r="GJ39" s="237"/>
      <c r="GK39" s="237"/>
      <c r="GL39" s="237"/>
      <c r="GM39" s="237"/>
      <c r="GN39" s="237"/>
      <c r="GO39" s="237"/>
      <c r="GP39" s="237"/>
      <c r="GQ39" s="237"/>
      <c r="GR39" s="237"/>
      <c r="GS39" s="237"/>
      <c r="GT39" s="237"/>
      <c r="GU39" s="237"/>
      <c r="GV39" s="237"/>
      <c r="GW39" s="237"/>
      <c r="GX39" s="237"/>
      <c r="GY39" s="237"/>
      <c r="GZ39" s="237"/>
      <c r="HA39" s="237"/>
      <c r="HB39" s="237"/>
      <c r="HC39" s="237"/>
      <c r="HD39" s="237"/>
      <c r="HE39" s="237"/>
      <c r="HF39" s="237"/>
      <c r="HG39" s="237"/>
      <c r="HH39" s="237"/>
      <c r="HI39" s="237"/>
      <c r="HJ39" s="237"/>
      <c r="HK39" s="237"/>
      <c r="HL39" s="237"/>
      <c r="HM39" s="237"/>
      <c r="HN39" s="237"/>
      <c r="HO39" s="237"/>
      <c r="HP39" s="237"/>
      <c r="HQ39" s="237"/>
      <c r="HR39" s="237"/>
      <c r="HS39" s="237"/>
      <c r="HT39" s="237"/>
      <c r="HU39" s="237"/>
      <c r="HV39" s="237"/>
      <c r="HW39" s="237"/>
      <c r="HX39" s="237"/>
      <c r="HY39" s="237"/>
      <c r="HZ39" s="237"/>
      <c r="IA39" s="237"/>
      <c r="IB39" s="237"/>
      <c r="IC39" s="237"/>
    </row>
    <row r="40" spans="1:237" s="238" customFormat="1" ht="63.75" customHeight="1" x14ac:dyDescent="0.2">
      <c r="A40" s="22">
        <f t="shared" si="0"/>
        <v>34</v>
      </c>
      <c r="B40" s="208" t="s">
        <v>99</v>
      </c>
      <c r="C40" s="209">
        <v>33</v>
      </c>
      <c r="D40" s="10" t="s">
        <v>24</v>
      </c>
      <c r="E40" s="214" t="s">
        <v>100</v>
      </c>
      <c r="F40" s="9" t="s">
        <v>101</v>
      </c>
      <c r="H40" s="209" t="s">
        <v>65</v>
      </c>
      <c r="I40" s="27">
        <f>50800000-1931400</f>
        <v>48868600</v>
      </c>
      <c r="J40" s="27"/>
      <c r="K40" s="493">
        <v>42556</v>
      </c>
      <c r="L40" s="493">
        <v>42592</v>
      </c>
      <c r="M40" s="493">
        <v>42597</v>
      </c>
      <c r="N40" s="6">
        <v>60</v>
      </c>
      <c r="O40" s="493">
        <v>42652</v>
      </c>
      <c r="P40" s="233">
        <v>81112502</v>
      </c>
      <c r="Q40" s="10" t="s">
        <v>266</v>
      </c>
      <c r="R40" s="11" t="s">
        <v>109</v>
      </c>
      <c r="S40" s="241" t="s">
        <v>377</v>
      </c>
      <c r="T40" s="236"/>
      <c r="U40" s="236"/>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237"/>
      <c r="CO40" s="237"/>
      <c r="CP40" s="237"/>
      <c r="CQ40" s="237"/>
      <c r="CR40" s="237"/>
      <c r="CS40" s="237"/>
      <c r="CT40" s="237"/>
      <c r="CU40" s="237"/>
      <c r="CV40" s="237"/>
      <c r="CW40" s="237"/>
      <c r="CX40" s="237"/>
      <c r="CY40" s="237"/>
      <c r="CZ40" s="237"/>
      <c r="DA40" s="237"/>
      <c r="DB40" s="237"/>
      <c r="DC40" s="237"/>
      <c r="DD40" s="237"/>
      <c r="DE40" s="237"/>
      <c r="DF40" s="237"/>
      <c r="DG40" s="237"/>
      <c r="DH40" s="237"/>
      <c r="DI40" s="237"/>
      <c r="DJ40" s="237"/>
      <c r="DK40" s="237"/>
      <c r="DL40" s="237"/>
      <c r="DM40" s="237"/>
      <c r="DN40" s="237"/>
      <c r="DO40" s="237"/>
      <c r="DP40" s="237"/>
      <c r="DQ40" s="237"/>
      <c r="DR40" s="237"/>
      <c r="DS40" s="237"/>
      <c r="DT40" s="237"/>
      <c r="DU40" s="237"/>
      <c r="DV40" s="237"/>
      <c r="DW40" s="237"/>
      <c r="DX40" s="237"/>
      <c r="DY40" s="237"/>
      <c r="DZ40" s="237"/>
      <c r="EA40" s="237"/>
      <c r="EB40" s="237"/>
      <c r="EC40" s="237"/>
      <c r="ED40" s="237"/>
      <c r="EE40" s="237"/>
      <c r="EF40" s="237"/>
      <c r="EG40" s="237"/>
      <c r="EH40" s="237"/>
      <c r="EI40" s="237"/>
      <c r="EJ40" s="237"/>
      <c r="EK40" s="237"/>
      <c r="EL40" s="237"/>
      <c r="EM40" s="237"/>
      <c r="EN40" s="237"/>
      <c r="EO40" s="237"/>
      <c r="EP40" s="237"/>
      <c r="EQ40" s="237"/>
      <c r="ER40" s="237"/>
      <c r="ES40" s="237"/>
      <c r="ET40" s="237"/>
      <c r="EU40" s="237"/>
      <c r="EV40" s="237"/>
      <c r="EW40" s="237"/>
      <c r="EX40" s="237"/>
      <c r="EY40" s="237"/>
      <c r="EZ40" s="237"/>
      <c r="FA40" s="237"/>
      <c r="FB40" s="237"/>
      <c r="FC40" s="237"/>
      <c r="FD40" s="237"/>
      <c r="FE40" s="237"/>
      <c r="FF40" s="237"/>
      <c r="FG40" s="237"/>
      <c r="FH40" s="237"/>
      <c r="FI40" s="237"/>
      <c r="FJ40" s="237"/>
      <c r="FK40" s="237"/>
      <c r="FL40" s="237"/>
      <c r="FM40" s="237"/>
      <c r="FN40" s="237"/>
      <c r="FO40" s="237"/>
      <c r="FP40" s="237"/>
      <c r="FQ40" s="237"/>
      <c r="FR40" s="237"/>
      <c r="FS40" s="237"/>
      <c r="FT40" s="237"/>
      <c r="FU40" s="237"/>
      <c r="FV40" s="237"/>
      <c r="FW40" s="237"/>
      <c r="FX40" s="237"/>
      <c r="FY40" s="237"/>
      <c r="FZ40" s="237"/>
      <c r="GA40" s="237"/>
      <c r="GB40" s="237"/>
      <c r="GC40" s="237"/>
      <c r="GD40" s="237"/>
      <c r="GE40" s="237"/>
      <c r="GF40" s="237"/>
      <c r="GG40" s="237"/>
      <c r="GH40" s="237"/>
      <c r="GI40" s="237"/>
      <c r="GJ40" s="237"/>
      <c r="GK40" s="237"/>
      <c r="GL40" s="237"/>
      <c r="GM40" s="237"/>
      <c r="GN40" s="237"/>
      <c r="GO40" s="237"/>
      <c r="GP40" s="237"/>
      <c r="GQ40" s="237"/>
      <c r="GR40" s="237"/>
      <c r="GS40" s="237"/>
      <c r="GT40" s="237"/>
      <c r="GU40" s="237"/>
      <c r="GV40" s="237"/>
      <c r="GW40" s="237"/>
      <c r="GX40" s="237"/>
      <c r="GY40" s="237"/>
      <c r="GZ40" s="237"/>
      <c r="HA40" s="237"/>
      <c r="HB40" s="237"/>
      <c r="HC40" s="237"/>
      <c r="HD40" s="237"/>
      <c r="HE40" s="237"/>
      <c r="HF40" s="237"/>
      <c r="HG40" s="237"/>
      <c r="HH40" s="237"/>
      <c r="HI40" s="237"/>
      <c r="HJ40" s="237"/>
      <c r="HK40" s="237"/>
      <c r="HL40" s="237"/>
      <c r="HM40" s="237"/>
      <c r="HN40" s="237"/>
      <c r="HO40" s="237"/>
      <c r="HP40" s="237"/>
      <c r="HQ40" s="237"/>
      <c r="HR40" s="237"/>
      <c r="HS40" s="237"/>
      <c r="HT40" s="237"/>
      <c r="HU40" s="237"/>
      <c r="HV40" s="237"/>
      <c r="HW40" s="237"/>
      <c r="HX40" s="237"/>
      <c r="HY40" s="237"/>
      <c r="HZ40" s="237"/>
      <c r="IA40" s="237"/>
      <c r="IB40" s="237"/>
      <c r="IC40" s="237"/>
    </row>
    <row r="41" spans="1:237" s="238" customFormat="1" ht="277.5" customHeight="1" x14ac:dyDescent="0.2">
      <c r="A41" s="22"/>
      <c r="B41" s="208" t="s">
        <v>99</v>
      </c>
      <c r="C41" s="209">
        <v>33</v>
      </c>
      <c r="D41" s="10" t="s">
        <v>24</v>
      </c>
      <c r="E41" s="214" t="s">
        <v>100</v>
      </c>
      <c r="F41" s="9" t="s">
        <v>101</v>
      </c>
      <c r="G41" s="9" t="s">
        <v>637</v>
      </c>
      <c r="H41" s="209" t="s">
        <v>65</v>
      </c>
      <c r="I41" s="328">
        <v>1931400</v>
      </c>
      <c r="J41" s="328">
        <v>1931400</v>
      </c>
      <c r="K41" s="493">
        <v>42436</v>
      </c>
      <c r="L41" s="493">
        <v>42436</v>
      </c>
      <c r="M41" s="493">
        <v>42437</v>
      </c>
      <c r="N41" s="22">
        <v>30</v>
      </c>
      <c r="O41" s="493">
        <v>42467</v>
      </c>
      <c r="P41" s="225" t="s">
        <v>642</v>
      </c>
      <c r="Q41" s="10" t="s">
        <v>687</v>
      </c>
      <c r="R41" s="11" t="s">
        <v>645</v>
      </c>
      <c r="S41" s="241" t="s">
        <v>377</v>
      </c>
      <c r="T41" s="241" t="s">
        <v>646</v>
      </c>
      <c r="U41" s="241" t="s">
        <v>575</v>
      </c>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237"/>
      <c r="CO41" s="237"/>
      <c r="CP41" s="237"/>
      <c r="CQ41" s="237"/>
      <c r="CR41" s="237"/>
      <c r="CS41" s="237"/>
      <c r="CT41" s="237"/>
      <c r="CU41" s="237"/>
      <c r="CV41" s="237"/>
      <c r="CW41" s="237"/>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37"/>
      <c r="DT41" s="237"/>
      <c r="DU41" s="237"/>
      <c r="DV41" s="237"/>
      <c r="DW41" s="237"/>
      <c r="DX41" s="237"/>
      <c r="DY41" s="237"/>
      <c r="DZ41" s="237"/>
      <c r="EA41" s="237"/>
      <c r="EB41" s="237"/>
      <c r="EC41" s="237"/>
      <c r="ED41" s="237"/>
      <c r="EE41" s="237"/>
      <c r="EF41" s="237"/>
      <c r="EG41" s="237"/>
      <c r="EH41" s="237"/>
      <c r="EI41" s="237"/>
      <c r="EJ41" s="237"/>
      <c r="EK41" s="237"/>
      <c r="EL41" s="237"/>
      <c r="EM41" s="237"/>
      <c r="EN41" s="237"/>
      <c r="EO41" s="237"/>
      <c r="EP41" s="237"/>
      <c r="EQ41" s="237"/>
      <c r="ER41" s="237"/>
      <c r="ES41" s="237"/>
      <c r="ET41" s="237"/>
      <c r="EU41" s="237"/>
      <c r="EV41" s="237"/>
      <c r="EW41" s="237"/>
      <c r="EX41" s="237"/>
      <c r="EY41" s="237"/>
      <c r="EZ41" s="237"/>
      <c r="FA41" s="237"/>
      <c r="FB41" s="237"/>
      <c r="FC41" s="237"/>
      <c r="FD41" s="237"/>
      <c r="FE41" s="237"/>
      <c r="FF41" s="237"/>
      <c r="FG41" s="237"/>
      <c r="FH41" s="237"/>
      <c r="FI41" s="237"/>
      <c r="FJ41" s="237"/>
      <c r="FK41" s="237"/>
      <c r="FL41" s="237"/>
      <c r="FM41" s="237"/>
      <c r="FN41" s="237"/>
      <c r="FO41" s="237"/>
      <c r="FP41" s="237"/>
      <c r="FQ41" s="237"/>
      <c r="FR41" s="237"/>
      <c r="FS41" s="237"/>
      <c r="FT41" s="237"/>
      <c r="FU41" s="237"/>
      <c r="FV41" s="237"/>
      <c r="FW41" s="237"/>
      <c r="FX41" s="237"/>
      <c r="FY41" s="237"/>
      <c r="FZ41" s="237"/>
      <c r="GA41" s="237"/>
      <c r="GB41" s="237"/>
      <c r="GC41" s="237"/>
      <c r="GD41" s="237"/>
      <c r="GE41" s="237"/>
      <c r="GF41" s="237"/>
      <c r="GG41" s="237"/>
      <c r="GH41" s="237"/>
      <c r="GI41" s="237"/>
      <c r="GJ41" s="237"/>
      <c r="GK41" s="237"/>
      <c r="GL41" s="237"/>
      <c r="GM41" s="237"/>
      <c r="GN41" s="237"/>
      <c r="GO41" s="237"/>
      <c r="GP41" s="237"/>
      <c r="GQ41" s="237"/>
      <c r="GR41" s="237"/>
      <c r="GS41" s="237"/>
      <c r="GT41" s="237"/>
      <c r="GU41" s="237"/>
      <c r="GV41" s="237"/>
      <c r="GW41" s="237"/>
      <c r="GX41" s="237"/>
      <c r="GY41" s="237"/>
      <c r="GZ41" s="237"/>
      <c r="HA41" s="237"/>
      <c r="HB41" s="237"/>
      <c r="HC41" s="237"/>
      <c r="HD41" s="237"/>
      <c r="HE41" s="237"/>
      <c r="HF41" s="237"/>
      <c r="HG41" s="237"/>
      <c r="HH41" s="237"/>
      <c r="HI41" s="237"/>
      <c r="HJ41" s="237"/>
      <c r="HK41" s="237"/>
      <c r="HL41" s="237"/>
      <c r="HM41" s="237"/>
      <c r="HN41" s="237"/>
      <c r="HO41" s="237"/>
      <c r="HP41" s="237"/>
      <c r="HQ41" s="237"/>
      <c r="HR41" s="237"/>
      <c r="HS41" s="237"/>
      <c r="HT41" s="237"/>
      <c r="HU41" s="237"/>
      <c r="HV41" s="237"/>
      <c r="HW41" s="237"/>
      <c r="HX41" s="237"/>
      <c r="HY41" s="237"/>
      <c r="HZ41" s="237"/>
      <c r="IA41" s="237"/>
      <c r="IB41" s="237"/>
      <c r="IC41" s="237"/>
    </row>
    <row r="42" spans="1:237" s="4" customFormat="1" ht="147" customHeight="1" x14ac:dyDescent="0.2">
      <c r="A42" s="22">
        <v>35</v>
      </c>
      <c r="B42" s="208" t="s">
        <v>110</v>
      </c>
      <c r="C42" s="209">
        <v>31102</v>
      </c>
      <c r="D42" s="24" t="s">
        <v>111</v>
      </c>
      <c r="E42" s="203">
        <v>311020301</v>
      </c>
      <c r="F42" s="25" t="s">
        <v>82</v>
      </c>
      <c r="G42" s="200" t="s">
        <v>33</v>
      </c>
      <c r="H42" s="10" t="s">
        <v>228</v>
      </c>
      <c r="I42" s="328">
        <v>10312330</v>
      </c>
      <c r="J42" s="328">
        <v>10312330</v>
      </c>
      <c r="K42" s="493">
        <v>42390</v>
      </c>
      <c r="L42" s="499">
        <v>42422</v>
      </c>
      <c r="M42" s="499">
        <v>42425</v>
      </c>
      <c r="N42" s="22">
        <v>300</v>
      </c>
      <c r="O42" s="499">
        <v>42728</v>
      </c>
      <c r="P42" s="278" t="s">
        <v>532</v>
      </c>
      <c r="Q42" s="377" t="s">
        <v>531</v>
      </c>
      <c r="R42" s="206" t="s">
        <v>112</v>
      </c>
      <c r="S42" s="211" t="s">
        <v>368</v>
      </c>
      <c r="T42" s="9" t="s">
        <v>533</v>
      </c>
      <c r="U42" s="207" t="s">
        <v>340</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row>
    <row r="43" spans="1:237" s="4" customFormat="1" ht="83.25" customHeight="1" x14ac:dyDescent="0.2">
      <c r="A43" s="22">
        <f t="shared" ref="A43:A72" si="4">A42+1</f>
        <v>36</v>
      </c>
      <c r="B43" s="208" t="s">
        <v>110</v>
      </c>
      <c r="C43" s="209">
        <v>31202</v>
      </c>
      <c r="D43" s="24" t="s">
        <v>221</v>
      </c>
      <c r="E43" s="30">
        <v>3120204</v>
      </c>
      <c r="F43" s="262" t="s">
        <v>240</v>
      </c>
      <c r="G43" s="200" t="s">
        <v>33</v>
      </c>
      <c r="H43" s="208" t="s">
        <v>28</v>
      </c>
      <c r="I43" s="210">
        <v>26000000</v>
      </c>
      <c r="J43" s="210"/>
      <c r="K43" s="498">
        <v>42552</v>
      </c>
      <c r="L43" s="498">
        <f>K43+45</f>
        <v>42597</v>
      </c>
      <c r="M43" s="498">
        <f>L43+5</f>
        <v>42602</v>
      </c>
      <c r="N43" s="483">
        <v>90</v>
      </c>
      <c r="O43" s="498">
        <f>M43+N43</f>
        <v>42692</v>
      </c>
      <c r="P43" s="257" t="s">
        <v>114</v>
      </c>
      <c r="Q43" s="208" t="s">
        <v>600</v>
      </c>
      <c r="R43" s="206" t="s">
        <v>115</v>
      </c>
      <c r="S43" s="211" t="s">
        <v>368</v>
      </c>
      <c r="T43" s="136"/>
      <c r="U43" s="1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row>
    <row r="44" spans="1:237" s="4" customFormat="1" ht="114.75" customHeight="1" x14ac:dyDescent="0.2">
      <c r="A44" s="22">
        <f t="shared" si="4"/>
        <v>37</v>
      </c>
      <c r="B44" s="208" t="s">
        <v>110</v>
      </c>
      <c r="C44" s="209">
        <v>31202</v>
      </c>
      <c r="D44" s="24" t="s">
        <v>221</v>
      </c>
      <c r="E44" s="30">
        <v>3120217</v>
      </c>
      <c r="F44" s="262" t="s">
        <v>116</v>
      </c>
      <c r="G44" s="15" t="s">
        <v>227</v>
      </c>
      <c r="H44" s="208" t="s">
        <v>28</v>
      </c>
      <c r="I44" s="210">
        <v>80000000</v>
      </c>
      <c r="J44" s="210"/>
      <c r="K44" s="498">
        <v>42552</v>
      </c>
      <c r="L44" s="498">
        <f>K44+45</f>
        <v>42597</v>
      </c>
      <c r="M44" s="498">
        <f>L44+5</f>
        <v>42602</v>
      </c>
      <c r="N44" s="483">
        <v>90</v>
      </c>
      <c r="O44" s="498">
        <f>M44+N44</f>
        <v>42692</v>
      </c>
      <c r="P44" s="263" t="s">
        <v>117</v>
      </c>
      <c r="Q44" s="208" t="s">
        <v>118</v>
      </c>
      <c r="R44" s="206" t="s">
        <v>119</v>
      </c>
      <c r="S44" s="211" t="s">
        <v>368</v>
      </c>
      <c r="T44" s="136"/>
      <c r="U44" s="1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row>
    <row r="45" spans="1:237" s="4" customFormat="1" ht="81.75" customHeight="1" x14ac:dyDescent="0.2">
      <c r="A45" s="22">
        <f t="shared" si="4"/>
        <v>38</v>
      </c>
      <c r="B45" s="208" t="s">
        <v>110</v>
      </c>
      <c r="C45" s="209">
        <v>31202</v>
      </c>
      <c r="D45" s="24" t="s">
        <v>221</v>
      </c>
      <c r="E45" s="30">
        <v>3120204</v>
      </c>
      <c r="F45" s="262" t="s">
        <v>240</v>
      </c>
      <c r="G45" s="200" t="s">
        <v>120</v>
      </c>
      <c r="H45" s="208" t="s">
        <v>65</v>
      </c>
      <c r="I45" s="210">
        <v>20800000</v>
      </c>
      <c r="J45" s="210"/>
      <c r="K45" s="498">
        <v>42552</v>
      </c>
      <c r="L45" s="498">
        <f>K45+45</f>
        <v>42597</v>
      </c>
      <c r="M45" s="498">
        <f>L45+5</f>
        <v>42602</v>
      </c>
      <c r="N45" s="483">
        <v>90</v>
      </c>
      <c r="O45" s="498">
        <f>M45+N45</f>
        <v>42692</v>
      </c>
      <c r="P45" s="7" t="s">
        <v>121</v>
      </c>
      <c r="Q45" s="208" t="s">
        <v>601</v>
      </c>
      <c r="R45" s="230" t="s">
        <v>122</v>
      </c>
      <c r="S45" s="211" t="s">
        <v>368</v>
      </c>
      <c r="T45" s="136"/>
      <c r="U45" s="136"/>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row>
    <row r="46" spans="1:237" s="4" customFormat="1" ht="81.75" customHeight="1" x14ac:dyDescent="0.2">
      <c r="A46" s="22">
        <f t="shared" si="4"/>
        <v>39</v>
      </c>
      <c r="B46" s="208" t="s">
        <v>110</v>
      </c>
      <c r="C46" s="209">
        <v>31202</v>
      </c>
      <c r="D46" s="24" t="s">
        <v>221</v>
      </c>
      <c r="E46" s="264">
        <v>3120204</v>
      </c>
      <c r="F46" s="262" t="s">
        <v>240</v>
      </c>
      <c r="G46" s="200" t="s">
        <v>120</v>
      </c>
      <c r="H46" s="208" t="s">
        <v>65</v>
      </c>
      <c r="I46" s="27">
        <v>8608151</v>
      </c>
      <c r="J46" s="27">
        <v>8608151</v>
      </c>
      <c r="K46" s="493">
        <v>42367</v>
      </c>
      <c r="L46" s="500">
        <v>42416</v>
      </c>
      <c r="M46" s="499">
        <v>42431</v>
      </c>
      <c r="N46" s="22" t="s">
        <v>509</v>
      </c>
      <c r="O46" s="499">
        <v>42461</v>
      </c>
      <c r="P46" s="9" t="s">
        <v>510</v>
      </c>
      <c r="Q46" s="26" t="s">
        <v>508</v>
      </c>
      <c r="R46" s="206" t="s">
        <v>119</v>
      </c>
      <c r="S46" s="211" t="s">
        <v>368</v>
      </c>
      <c r="T46" s="9" t="s">
        <v>511</v>
      </c>
      <c r="U46" s="207" t="s">
        <v>340</v>
      </c>
      <c r="V46" s="265" t="s">
        <v>298</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row>
    <row r="47" spans="1:237" s="4" customFormat="1" ht="127.5" customHeight="1" x14ac:dyDescent="0.2">
      <c r="A47" s="22">
        <f t="shared" si="4"/>
        <v>40</v>
      </c>
      <c r="B47" s="208" t="s">
        <v>110</v>
      </c>
      <c r="C47" s="209">
        <v>31202</v>
      </c>
      <c r="D47" s="24" t="s">
        <v>221</v>
      </c>
      <c r="E47" s="30">
        <v>3120204</v>
      </c>
      <c r="F47" s="262" t="s">
        <v>240</v>
      </c>
      <c r="G47" s="200" t="s">
        <v>120</v>
      </c>
      <c r="H47" s="208" t="s">
        <v>65</v>
      </c>
      <c r="I47" s="210">
        <v>400000</v>
      </c>
      <c r="J47" s="210"/>
      <c r="K47" s="493">
        <v>42367</v>
      </c>
      <c r="L47" s="493">
        <v>42429</v>
      </c>
      <c r="M47" s="493">
        <v>42420</v>
      </c>
      <c r="N47" s="226">
        <v>300</v>
      </c>
      <c r="O47" s="493">
        <v>42716</v>
      </c>
      <c r="P47" s="8" t="s">
        <v>123</v>
      </c>
      <c r="Q47" s="208" t="s">
        <v>280</v>
      </c>
      <c r="R47" s="230" t="s">
        <v>124</v>
      </c>
      <c r="S47" s="211" t="s">
        <v>368</v>
      </c>
      <c r="T47" s="221" t="s">
        <v>279</v>
      </c>
      <c r="U47" s="221" t="s">
        <v>333</v>
      </c>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row>
    <row r="48" spans="1:237" s="4" customFormat="1" ht="127.5" customHeight="1" x14ac:dyDescent="0.2">
      <c r="A48" s="22">
        <f t="shared" si="4"/>
        <v>41</v>
      </c>
      <c r="B48" s="208" t="s">
        <v>110</v>
      </c>
      <c r="C48" s="209">
        <v>31202</v>
      </c>
      <c r="D48" s="24" t="s">
        <v>221</v>
      </c>
      <c r="E48" s="30">
        <v>3120204</v>
      </c>
      <c r="F48" s="262" t="s">
        <v>240</v>
      </c>
      <c r="G48" s="200" t="s">
        <v>120</v>
      </c>
      <c r="H48" s="208" t="s">
        <v>65</v>
      </c>
      <c r="I48" s="210">
        <v>1000000</v>
      </c>
      <c r="J48" s="210"/>
      <c r="K48" s="493">
        <v>42367</v>
      </c>
      <c r="L48" s="493">
        <v>42429</v>
      </c>
      <c r="M48" s="493">
        <v>42420</v>
      </c>
      <c r="N48" s="226">
        <v>300</v>
      </c>
      <c r="O48" s="493">
        <v>42716</v>
      </c>
      <c r="P48" s="8" t="s">
        <v>123</v>
      </c>
      <c r="Q48" s="208" t="s">
        <v>382</v>
      </c>
      <c r="R48" s="230" t="s">
        <v>124</v>
      </c>
      <c r="S48" s="211" t="s">
        <v>368</v>
      </c>
      <c r="T48" s="221" t="s">
        <v>279</v>
      </c>
      <c r="U48" s="221" t="s">
        <v>333</v>
      </c>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row>
    <row r="49" spans="1:237" s="4" customFormat="1" ht="127.5" customHeight="1" x14ac:dyDescent="0.2">
      <c r="A49" s="22">
        <f t="shared" si="4"/>
        <v>42</v>
      </c>
      <c r="B49" s="208" t="s">
        <v>110</v>
      </c>
      <c r="C49" s="209">
        <v>31202</v>
      </c>
      <c r="D49" s="24" t="s">
        <v>221</v>
      </c>
      <c r="E49" s="30">
        <v>3120204</v>
      </c>
      <c r="F49" s="262" t="s">
        <v>240</v>
      </c>
      <c r="G49" s="200" t="s">
        <v>120</v>
      </c>
      <c r="H49" s="208" t="s">
        <v>65</v>
      </c>
      <c r="I49" s="210">
        <v>1100000</v>
      </c>
      <c r="J49" s="210"/>
      <c r="K49" s="493">
        <v>42367</v>
      </c>
      <c r="L49" s="493">
        <v>42429</v>
      </c>
      <c r="M49" s="493">
        <v>42420</v>
      </c>
      <c r="N49" s="226">
        <v>300</v>
      </c>
      <c r="O49" s="493">
        <v>42716</v>
      </c>
      <c r="P49" s="8" t="s">
        <v>123</v>
      </c>
      <c r="Q49" s="208" t="s">
        <v>281</v>
      </c>
      <c r="R49" s="230" t="s">
        <v>124</v>
      </c>
      <c r="S49" s="211" t="s">
        <v>368</v>
      </c>
      <c r="T49" s="221" t="s">
        <v>279</v>
      </c>
      <c r="U49" s="221" t="s">
        <v>333</v>
      </c>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row>
    <row r="50" spans="1:237" s="4" customFormat="1" ht="127.5" customHeight="1" x14ac:dyDescent="0.2">
      <c r="A50" s="22">
        <f t="shared" si="4"/>
        <v>43</v>
      </c>
      <c r="B50" s="208" t="s">
        <v>110</v>
      </c>
      <c r="C50" s="209">
        <v>31202</v>
      </c>
      <c r="D50" s="24" t="s">
        <v>221</v>
      </c>
      <c r="E50" s="30">
        <v>3120204</v>
      </c>
      <c r="F50" s="262" t="s">
        <v>240</v>
      </c>
      <c r="G50" s="200" t="s">
        <v>120</v>
      </c>
      <c r="H50" s="208" t="s">
        <v>65</v>
      </c>
      <c r="I50" s="210">
        <v>900000</v>
      </c>
      <c r="J50" s="210"/>
      <c r="K50" s="493">
        <v>42367</v>
      </c>
      <c r="L50" s="493">
        <v>42429</v>
      </c>
      <c r="M50" s="493">
        <v>42420</v>
      </c>
      <c r="N50" s="226">
        <v>300</v>
      </c>
      <c r="O50" s="493">
        <v>42716</v>
      </c>
      <c r="P50" s="8" t="s">
        <v>123</v>
      </c>
      <c r="Q50" s="208" t="s">
        <v>383</v>
      </c>
      <c r="R50" s="230" t="s">
        <v>124</v>
      </c>
      <c r="S50" s="211" t="s">
        <v>368</v>
      </c>
      <c r="T50" s="221" t="s">
        <v>279</v>
      </c>
      <c r="U50" s="221" t="s">
        <v>333</v>
      </c>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row>
    <row r="51" spans="1:237" s="4" customFormat="1" ht="145.5" customHeight="1" x14ac:dyDescent="0.2">
      <c r="A51" s="22">
        <f t="shared" si="4"/>
        <v>44</v>
      </c>
      <c r="B51" s="208" t="s">
        <v>110</v>
      </c>
      <c r="C51" s="209">
        <v>31202</v>
      </c>
      <c r="D51" s="24" t="s">
        <v>221</v>
      </c>
      <c r="E51" s="30">
        <v>3120204</v>
      </c>
      <c r="F51" s="262" t="s">
        <v>240</v>
      </c>
      <c r="G51" s="200" t="s">
        <v>120</v>
      </c>
      <c r="H51" s="208" t="s">
        <v>65</v>
      </c>
      <c r="I51" s="328">
        <v>1010000</v>
      </c>
      <c r="J51" s="328">
        <v>1010000</v>
      </c>
      <c r="K51" s="493">
        <v>42367</v>
      </c>
      <c r="L51" s="499">
        <v>42422</v>
      </c>
      <c r="M51" s="499">
        <v>42425</v>
      </c>
      <c r="N51" s="22">
        <v>365</v>
      </c>
      <c r="O51" s="499">
        <v>42790</v>
      </c>
      <c r="P51" s="222" t="s">
        <v>529</v>
      </c>
      <c r="Q51" s="377" t="s">
        <v>528</v>
      </c>
      <c r="R51" s="230" t="s">
        <v>124</v>
      </c>
      <c r="S51" s="211" t="s">
        <v>368</v>
      </c>
      <c r="T51" s="9" t="s">
        <v>530</v>
      </c>
      <c r="U51" s="207" t="s">
        <v>340</v>
      </c>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row>
    <row r="52" spans="1:237" s="4" customFormat="1" ht="140.25" customHeight="1" x14ac:dyDescent="0.2">
      <c r="A52" s="22">
        <f t="shared" si="4"/>
        <v>45</v>
      </c>
      <c r="B52" s="208" t="s">
        <v>110</v>
      </c>
      <c r="C52" s="214">
        <v>33</v>
      </c>
      <c r="D52" s="11" t="s">
        <v>24</v>
      </c>
      <c r="E52" s="247" t="s">
        <v>25</v>
      </c>
      <c r="F52" s="266" t="s">
        <v>26</v>
      </c>
      <c r="G52" s="200" t="s">
        <v>27</v>
      </c>
      <c r="H52" s="208" t="s">
        <v>28</v>
      </c>
      <c r="I52" s="210">
        <v>129032000</v>
      </c>
      <c r="J52" s="210"/>
      <c r="K52" s="493">
        <v>42418</v>
      </c>
      <c r="L52" s="493">
        <v>42505</v>
      </c>
      <c r="M52" s="493">
        <v>42519</v>
      </c>
      <c r="N52" s="214">
        <v>365</v>
      </c>
      <c r="O52" s="493">
        <v>42883</v>
      </c>
      <c r="P52" s="7" t="s">
        <v>125</v>
      </c>
      <c r="Q52" s="9" t="s">
        <v>560</v>
      </c>
      <c r="R52" s="230" t="s">
        <v>126</v>
      </c>
      <c r="S52" s="211" t="s">
        <v>368</v>
      </c>
      <c r="T52" s="221" t="s">
        <v>367</v>
      </c>
      <c r="U52" s="221" t="s">
        <v>664</v>
      </c>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row>
    <row r="53" spans="1:237" s="4" customFormat="1" ht="72" customHeight="1" x14ac:dyDescent="0.2">
      <c r="A53" s="22">
        <f t="shared" si="4"/>
        <v>46</v>
      </c>
      <c r="B53" s="208" t="s">
        <v>110</v>
      </c>
      <c r="C53" s="214">
        <v>33</v>
      </c>
      <c r="D53" s="11" t="s">
        <v>24</v>
      </c>
      <c r="E53" s="247" t="s">
        <v>25</v>
      </c>
      <c r="F53" s="266" t="s">
        <v>26</v>
      </c>
      <c r="G53" s="221" t="s">
        <v>662</v>
      </c>
      <c r="H53" s="221" t="s">
        <v>662</v>
      </c>
      <c r="I53" s="210">
        <f>150000000-129032000</f>
        <v>20968000</v>
      </c>
      <c r="J53" s="210"/>
      <c r="K53" s="501" t="s">
        <v>662</v>
      </c>
      <c r="L53" s="501" t="s">
        <v>662</v>
      </c>
      <c r="M53" s="501" t="s">
        <v>662</v>
      </c>
      <c r="N53" s="221" t="s">
        <v>662</v>
      </c>
      <c r="O53" s="501" t="s">
        <v>662</v>
      </c>
      <c r="P53" s="221" t="s">
        <v>662</v>
      </c>
      <c r="Q53" s="9" t="s">
        <v>668</v>
      </c>
      <c r="R53" s="230" t="s">
        <v>661</v>
      </c>
      <c r="S53" s="211" t="s">
        <v>368</v>
      </c>
      <c r="T53" s="221" t="s">
        <v>662</v>
      </c>
      <c r="U53" s="221" t="s">
        <v>662</v>
      </c>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row>
    <row r="54" spans="1:237" s="4" customFormat="1" ht="106.5" customHeight="1" x14ac:dyDescent="0.2">
      <c r="A54" s="22">
        <f t="shared" si="4"/>
        <v>47</v>
      </c>
      <c r="B54" s="17" t="s">
        <v>145</v>
      </c>
      <c r="C54" s="23" t="s">
        <v>127</v>
      </c>
      <c r="D54" s="124" t="s">
        <v>128</v>
      </c>
      <c r="E54" s="126">
        <v>3120102</v>
      </c>
      <c r="F54" s="125" t="s">
        <v>129</v>
      </c>
      <c r="G54" s="15" t="s">
        <v>27</v>
      </c>
      <c r="H54" s="10" t="s">
        <v>19</v>
      </c>
      <c r="I54" s="27">
        <f>190000000-100000000</f>
        <v>90000000</v>
      </c>
      <c r="J54" s="27"/>
      <c r="K54" s="493">
        <v>42506</v>
      </c>
      <c r="L54" s="494">
        <v>42523</v>
      </c>
      <c r="M54" s="494">
        <v>42536</v>
      </c>
      <c r="N54" s="6">
        <v>150</v>
      </c>
      <c r="O54" s="494">
        <v>42686</v>
      </c>
      <c r="P54" s="7" t="s">
        <v>257</v>
      </c>
      <c r="Q54" s="26" t="s">
        <v>130</v>
      </c>
      <c r="R54" s="11" t="s">
        <v>131</v>
      </c>
      <c r="S54" s="207" t="s">
        <v>359</v>
      </c>
      <c r="T54" s="451"/>
      <c r="U54" s="136"/>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row>
    <row r="55" spans="1:237" s="4" customFormat="1" ht="86.25" customHeight="1" x14ac:dyDescent="0.2">
      <c r="A55" s="22">
        <f t="shared" si="4"/>
        <v>48</v>
      </c>
      <c r="B55" s="17" t="s">
        <v>145</v>
      </c>
      <c r="C55" s="23" t="s">
        <v>127</v>
      </c>
      <c r="D55" s="124" t="s">
        <v>128</v>
      </c>
      <c r="E55" s="30">
        <v>3120104</v>
      </c>
      <c r="F55" s="125" t="s">
        <v>132</v>
      </c>
      <c r="G55" s="15" t="s">
        <v>27</v>
      </c>
      <c r="H55" s="10" t="s">
        <v>19</v>
      </c>
      <c r="I55" s="27">
        <v>230000000</v>
      </c>
      <c r="J55" s="27"/>
      <c r="K55" s="493">
        <v>42517</v>
      </c>
      <c r="L55" s="494">
        <f>K55+90</f>
        <v>42607</v>
      </c>
      <c r="M55" s="494">
        <f>L55+5</f>
        <v>42612</v>
      </c>
      <c r="N55" s="6">
        <v>180</v>
      </c>
      <c r="O55" s="494">
        <f>M55+N55</f>
        <v>42792</v>
      </c>
      <c r="P55" s="16" t="s">
        <v>258</v>
      </c>
      <c r="Q55" s="26" t="s">
        <v>133</v>
      </c>
      <c r="R55" s="11" t="s">
        <v>134</v>
      </c>
      <c r="S55" s="207" t="s">
        <v>359</v>
      </c>
      <c r="T55" s="451"/>
      <c r="U55" s="136"/>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row>
    <row r="56" spans="1:237" s="4" customFormat="1" ht="78" customHeight="1" x14ac:dyDescent="0.2">
      <c r="A56" s="22">
        <f t="shared" si="4"/>
        <v>49</v>
      </c>
      <c r="B56" s="17" t="s">
        <v>145</v>
      </c>
      <c r="C56" s="23" t="s">
        <v>127</v>
      </c>
      <c r="D56" s="24" t="s">
        <v>221</v>
      </c>
      <c r="E56" s="23">
        <v>312020501</v>
      </c>
      <c r="F56" s="25" t="s">
        <v>86</v>
      </c>
      <c r="G56" s="15" t="s">
        <v>27</v>
      </c>
      <c r="H56" s="10" t="s">
        <v>28</v>
      </c>
      <c r="I56" s="27">
        <v>50000000</v>
      </c>
      <c r="J56" s="27"/>
      <c r="K56" s="493">
        <v>42531</v>
      </c>
      <c r="L56" s="494">
        <f>K56+60</f>
        <v>42591</v>
      </c>
      <c r="M56" s="494">
        <f>L56+5</f>
        <v>42596</v>
      </c>
      <c r="N56" s="6">
        <v>120</v>
      </c>
      <c r="O56" s="494">
        <f>M56+N56</f>
        <v>42716</v>
      </c>
      <c r="P56" s="127" t="s">
        <v>259</v>
      </c>
      <c r="Q56" s="26" t="s">
        <v>135</v>
      </c>
      <c r="R56" s="11" t="s">
        <v>136</v>
      </c>
      <c r="S56" s="207" t="s">
        <v>359</v>
      </c>
      <c r="T56" s="136"/>
      <c r="U56" s="136"/>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row>
    <row r="57" spans="1:237" s="4" customFormat="1" ht="132" customHeight="1" x14ac:dyDescent="0.2">
      <c r="A57" s="22">
        <f t="shared" si="4"/>
        <v>50</v>
      </c>
      <c r="B57" s="208" t="s">
        <v>99</v>
      </c>
      <c r="C57" s="23" t="s">
        <v>127</v>
      </c>
      <c r="D57" s="124" t="s">
        <v>128</v>
      </c>
      <c r="E57" s="126">
        <v>3120102</v>
      </c>
      <c r="F57" s="125" t="s">
        <v>129</v>
      </c>
      <c r="G57" s="214" t="s">
        <v>27</v>
      </c>
      <c r="H57" s="227" t="s">
        <v>65</v>
      </c>
      <c r="I57" s="27">
        <v>71380600</v>
      </c>
      <c r="J57" s="27"/>
      <c r="K57" s="493">
        <v>42415</v>
      </c>
      <c r="L57" s="494">
        <v>42431</v>
      </c>
      <c r="M57" s="494">
        <v>42415</v>
      </c>
      <c r="N57" s="6">
        <v>365</v>
      </c>
      <c r="O57" s="494">
        <v>42775</v>
      </c>
      <c r="P57" s="8" t="s">
        <v>260</v>
      </c>
      <c r="Q57" s="26" t="s">
        <v>611</v>
      </c>
      <c r="R57" s="11" t="s">
        <v>137</v>
      </c>
      <c r="S57" s="241" t="s">
        <v>377</v>
      </c>
      <c r="T57" s="11" t="s">
        <v>612</v>
      </c>
      <c r="U57" s="221" t="s">
        <v>333</v>
      </c>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row>
    <row r="58" spans="1:237" s="4" customFormat="1" ht="140.25" customHeight="1" x14ac:dyDescent="0.2">
      <c r="A58" s="22">
        <f t="shared" si="4"/>
        <v>51</v>
      </c>
      <c r="B58" s="17" t="s">
        <v>145</v>
      </c>
      <c r="C58" s="23" t="s">
        <v>16</v>
      </c>
      <c r="D58" s="24" t="s">
        <v>221</v>
      </c>
      <c r="E58" s="126">
        <v>3120105</v>
      </c>
      <c r="F58" s="125" t="s">
        <v>139</v>
      </c>
      <c r="G58" s="15" t="s">
        <v>227</v>
      </c>
      <c r="H58" s="10" t="s">
        <v>140</v>
      </c>
      <c r="I58" s="27">
        <v>400000000</v>
      </c>
      <c r="J58" s="27"/>
      <c r="K58" s="493">
        <f t="shared" ref="K58" si="5">L58-84</f>
        <v>42530</v>
      </c>
      <c r="L58" s="494">
        <v>42614</v>
      </c>
      <c r="M58" s="494">
        <v>42637</v>
      </c>
      <c r="N58" s="6">
        <v>365</v>
      </c>
      <c r="O58" s="494">
        <v>43002</v>
      </c>
      <c r="P58" s="7" t="s">
        <v>261</v>
      </c>
      <c r="Q58" s="26" t="s">
        <v>141</v>
      </c>
      <c r="R58" s="11" t="s">
        <v>142</v>
      </c>
      <c r="S58" s="207" t="s">
        <v>359</v>
      </c>
      <c r="T58" s="136"/>
      <c r="U58" s="136"/>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row>
    <row r="59" spans="1:237" s="4" customFormat="1" ht="119.25" customHeight="1" x14ac:dyDescent="0.2">
      <c r="A59" s="22">
        <f t="shared" si="4"/>
        <v>52</v>
      </c>
      <c r="B59" s="17" t="s">
        <v>145</v>
      </c>
      <c r="C59" s="23" t="s">
        <v>16</v>
      </c>
      <c r="D59" s="24" t="s">
        <v>221</v>
      </c>
      <c r="E59" s="126">
        <v>312020601</v>
      </c>
      <c r="F59" s="125" t="s">
        <v>139</v>
      </c>
      <c r="G59" s="15" t="s">
        <v>79</v>
      </c>
      <c r="H59" s="10" t="s">
        <v>28</v>
      </c>
      <c r="I59" s="481">
        <v>0</v>
      </c>
      <c r="J59" s="27"/>
      <c r="K59" s="493">
        <v>42410</v>
      </c>
      <c r="L59" s="494">
        <v>42492</v>
      </c>
      <c r="M59" s="494">
        <f>L59+5</f>
        <v>42497</v>
      </c>
      <c r="N59" s="6">
        <v>365</v>
      </c>
      <c r="O59" s="494">
        <f>M59+N59</f>
        <v>42862</v>
      </c>
      <c r="P59" s="7" t="s">
        <v>262</v>
      </c>
      <c r="Q59" s="26" t="s">
        <v>143</v>
      </c>
      <c r="R59" s="11" t="s">
        <v>144</v>
      </c>
      <c r="S59" s="256" t="s">
        <v>359</v>
      </c>
      <c r="T59" s="207" t="s">
        <v>358</v>
      </c>
      <c r="U59" s="221" t="s">
        <v>656</v>
      </c>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row>
    <row r="60" spans="1:237" s="4" customFormat="1" ht="322.5" customHeight="1" x14ac:dyDescent="0.2">
      <c r="A60" s="22">
        <f t="shared" si="4"/>
        <v>53</v>
      </c>
      <c r="B60" s="17" t="s">
        <v>149</v>
      </c>
      <c r="C60" s="23">
        <v>33</v>
      </c>
      <c r="D60" s="10" t="s">
        <v>24</v>
      </c>
      <c r="E60" s="247" t="s">
        <v>25</v>
      </c>
      <c r="F60" s="15" t="s">
        <v>26</v>
      </c>
      <c r="G60" s="209" t="s">
        <v>107</v>
      </c>
      <c r="H60" s="209" t="s">
        <v>225</v>
      </c>
      <c r="I60" s="27">
        <v>541800000</v>
      </c>
      <c r="J60" s="27"/>
      <c r="K60" s="502">
        <v>42342</v>
      </c>
      <c r="L60" s="502">
        <v>42473</v>
      </c>
      <c r="M60" s="502">
        <v>42539</v>
      </c>
      <c r="N60" s="27">
        <v>180</v>
      </c>
      <c r="O60" s="502">
        <v>42721</v>
      </c>
      <c r="P60" s="200" t="s">
        <v>147</v>
      </c>
      <c r="Q60" s="11" t="s">
        <v>559</v>
      </c>
      <c r="R60" s="11" t="s">
        <v>148</v>
      </c>
      <c r="S60" s="207" t="s">
        <v>282</v>
      </c>
      <c r="T60" s="276" t="s">
        <v>491</v>
      </c>
      <c r="U60" s="221" t="s">
        <v>333</v>
      </c>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row>
    <row r="61" spans="1:237" s="19" customFormat="1" ht="171.75" customHeight="1" x14ac:dyDescent="0.2">
      <c r="A61" s="22">
        <f t="shared" si="4"/>
        <v>54</v>
      </c>
      <c r="B61" s="14" t="s">
        <v>110</v>
      </c>
      <c r="C61" s="213" t="s">
        <v>152</v>
      </c>
      <c r="D61" s="24" t="s">
        <v>111</v>
      </c>
      <c r="E61" s="192">
        <v>311020301</v>
      </c>
      <c r="F61" s="193" t="s">
        <v>336</v>
      </c>
      <c r="G61" s="9" t="s">
        <v>83</v>
      </c>
      <c r="H61" s="9" t="s">
        <v>28</v>
      </c>
      <c r="I61" s="21">
        <v>15200000</v>
      </c>
      <c r="J61" s="21">
        <v>15200000</v>
      </c>
      <c r="K61" s="503">
        <v>42394</v>
      </c>
      <c r="L61" s="499">
        <v>42424</v>
      </c>
      <c r="M61" s="499">
        <v>42429</v>
      </c>
      <c r="N61" s="22">
        <v>120</v>
      </c>
      <c r="O61" s="499">
        <v>42549</v>
      </c>
      <c r="P61" s="251" t="s">
        <v>536</v>
      </c>
      <c r="Q61" s="377" t="s">
        <v>673</v>
      </c>
      <c r="R61" s="11" t="s">
        <v>371</v>
      </c>
      <c r="S61" s="211" t="s">
        <v>368</v>
      </c>
      <c r="T61" s="9" t="s">
        <v>537</v>
      </c>
      <c r="U61" s="207" t="s">
        <v>340</v>
      </c>
    </row>
    <row r="62" spans="1:237" s="19" customFormat="1" ht="191.25" customHeight="1" x14ac:dyDescent="0.2">
      <c r="A62" s="22">
        <f t="shared" si="4"/>
        <v>55</v>
      </c>
      <c r="B62" s="14" t="s">
        <v>110</v>
      </c>
      <c r="C62" s="213" t="s">
        <v>127</v>
      </c>
      <c r="D62" s="24" t="s">
        <v>128</v>
      </c>
      <c r="E62" s="192">
        <v>3120105</v>
      </c>
      <c r="F62" s="193" t="s">
        <v>138</v>
      </c>
      <c r="G62" s="9" t="s">
        <v>79</v>
      </c>
      <c r="H62" s="9" t="s">
        <v>65</v>
      </c>
      <c r="I62" s="21">
        <v>16424700</v>
      </c>
      <c r="J62" s="21"/>
      <c r="K62" s="503">
        <v>42443</v>
      </c>
      <c r="L62" s="499">
        <f>K62+50</f>
        <v>42493</v>
      </c>
      <c r="M62" s="499">
        <f>L62+5</f>
        <v>42498</v>
      </c>
      <c r="N62" s="22">
        <v>5</v>
      </c>
      <c r="O62" s="499">
        <f>M62+N62</f>
        <v>42503</v>
      </c>
      <c r="P62" s="7" t="s">
        <v>562</v>
      </c>
      <c r="Q62" s="9" t="s">
        <v>563</v>
      </c>
      <c r="R62" s="9" t="s">
        <v>564</v>
      </c>
      <c r="S62" s="384" t="s">
        <v>368</v>
      </c>
      <c r="T62" s="9" t="s">
        <v>565</v>
      </c>
      <c r="U62" s="221" t="s">
        <v>333</v>
      </c>
    </row>
    <row r="63" spans="1:237" s="4" customFormat="1" ht="121.5" customHeight="1" x14ac:dyDescent="0.2">
      <c r="A63" s="22">
        <f t="shared" si="4"/>
        <v>56</v>
      </c>
      <c r="B63" s="212" t="s">
        <v>151</v>
      </c>
      <c r="C63" s="213" t="s">
        <v>152</v>
      </c>
      <c r="D63" s="24" t="s">
        <v>111</v>
      </c>
      <c r="E63" s="214">
        <v>311020301</v>
      </c>
      <c r="F63" s="25" t="s">
        <v>82</v>
      </c>
      <c r="G63" s="9" t="s">
        <v>83</v>
      </c>
      <c r="H63" s="10" t="s">
        <v>228</v>
      </c>
      <c r="I63" s="215">
        <v>32000000</v>
      </c>
      <c r="J63" s="215">
        <v>32000000</v>
      </c>
      <c r="K63" s="493">
        <v>42396</v>
      </c>
      <c r="L63" s="493">
        <v>42424</v>
      </c>
      <c r="M63" s="494">
        <v>42430</v>
      </c>
      <c r="N63" s="6">
        <v>120</v>
      </c>
      <c r="O63" s="494">
        <v>42552</v>
      </c>
      <c r="P63" s="7" t="s">
        <v>153</v>
      </c>
      <c r="Q63" s="377" t="s">
        <v>561</v>
      </c>
      <c r="R63" s="216" t="s">
        <v>535</v>
      </c>
      <c r="S63" s="207" t="s">
        <v>372</v>
      </c>
      <c r="T63" s="216" t="s">
        <v>534</v>
      </c>
      <c r="U63" s="216" t="s">
        <v>340</v>
      </c>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row>
    <row r="64" spans="1:237" s="270" customFormat="1" ht="151.5" customHeight="1" x14ac:dyDescent="0.2">
      <c r="A64" s="22">
        <f t="shared" si="4"/>
        <v>57</v>
      </c>
      <c r="B64" s="15" t="s">
        <v>154</v>
      </c>
      <c r="C64" s="214">
        <v>31201</v>
      </c>
      <c r="D64" s="24" t="s">
        <v>128</v>
      </c>
      <c r="E64" s="227">
        <v>3120104</v>
      </c>
      <c r="F64" s="15" t="s">
        <v>132</v>
      </c>
      <c r="G64" s="15" t="s">
        <v>33</v>
      </c>
      <c r="H64" s="200" t="s">
        <v>65</v>
      </c>
      <c r="I64" s="210">
        <v>7000000</v>
      </c>
      <c r="J64" s="210"/>
      <c r="K64" s="493">
        <v>42472</v>
      </c>
      <c r="L64" s="494">
        <v>42529</v>
      </c>
      <c r="M64" s="494">
        <v>42534</v>
      </c>
      <c r="N64" s="217">
        <v>60</v>
      </c>
      <c r="O64" s="494">
        <v>42594</v>
      </c>
      <c r="P64" s="267" t="s">
        <v>155</v>
      </c>
      <c r="Q64" s="26" t="s">
        <v>716</v>
      </c>
      <c r="R64" s="11" t="s">
        <v>156</v>
      </c>
      <c r="S64" s="272" t="s">
        <v>285</v>
      </c>
      <c r="T64" s="268"/>
      <c r="U64" s="268"/>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69"/>
      <c r="FH64" s="269"/>
      <c r="FI64" s="269"/>
      <c r="FJ64" s="269"/>
      <c r="FK64" s="269"/>
      <c r="FL64" s="269"/>
      <c r="FM64" s="269"/>
      <c r="FN64" s="269"/>
      <c r="FO64" s="269"/>
      <c r="FP64" s="269"/>
      <c r="FQ64" s="269"/>
      <c r="FR64" s="269"/>
      <c r="FS64" s="269"/>
      <c r="FT64" s="269"/>
      <c r="FU64" s="269"/>
      <c r="FV64" s="269"/>
      <c r="FW64" s="269"/>
      <c r="FX64" s="269"/>
      <c r="FY64" s="269"/>
      <c r="FZ64" s="269"/>
      <c r="GA64" s="269"/>
      <c r="GB64" s="269"/>
      <c r="GC64" s="269"/>
      <c r="GD64" s="269"/>
      <c r="GE64" s="269"/>
      <c r="GF64" s="269"/>
      <c r="GG64" s="269"/>
      <c r="GH64" s="269"/>
      <c r="GI64" s="269"/>
      <c r="GJ64" s="269"/>
      <c r="GK64" s="269"/>
      <c r="GL64" s="269"/>
      <c r="GM64" s="269"/>
      <c r="GN64" s="269"/>
      <c r="GO64" s="269"/>
      <c r="GP64" s="269"/>
      <c r="GQ64" s="269"/>
      <c r="GR64" s="269"/>
      <c r="GS64" s="269"/>
      <c r="GT64" s="269"/>
      <c r="GU64" s="269"/>
      <c r="GV64" s="269"/>
      <c r="GW64" s="269"/>
      <c r="GX64" s="269"/>
      <c r="GY64" s="269"/>
      <c r="GZ64" s="269"/>
      <c r="HA64" s="269"/>
      <c r="HB64" s="269"/>
      <c r="HC64" s="269"/>
      <c r="HD64" s="269"/>
      <c r="HE64" s="269"/>
      <c r="HF64" s="269"/>
      <c r="HG64" s="269"/>
      <c r="HH64" s="269"/>
      <c r="HI64" s="269"/>
      <c r="HJ64" s="269"/>
      <c r="HK64" s="269"/>
      <c r="HL64" s="269"/>
      <c r="HM64" s="269"/>
      <c r="HN64" s="269"/>
      <c r="HO64" s="269"/>
      <c r="HP64" s="269"/>
      <c r="HQ64" s="269"/>
      <c r="HR64" s="269"/>
      <c r="HS64" s="269"/>
      <c r="HT64" s="269"/>
      <c r="HU64" s="269"/>
      <c r="HV64" s="269"/>
      <c r="HW64" s="269"/>
      <c r="HX64" s="269"/>
      <c r="HY64" s="269"/>
      <c r="HZ64" s="269"/>
      <c r="IA64" s="269"/>
      <c r="IB64" s="269"/>
      <c r="IC64" s="269"/>
    </row>
    <row r="65" spans="1:237" s="270" customFormat="1" ht="172.5" customHeight="1" x14ac:dyDescent="0.2">
      <c r="A65" s="22">
        <f t="shared" si="4"/>
        <v>58</v>
      </c>
      <c r="B65" s="15" t="s">
        <v>154</v>
      </c>
      <c r="C65" s="214">
        <v>31201</v>
      </c>
      <c r="D65" s="24" t="s">
        <v>128</v>
      </c>
      <c r="E65" s="227">
        <v>3120104</v>
      </c>
      <c r="F65" s="15" t="s">
        <v>132</v>
      </c>
      <c r="G65" s="15" t="s">
        <v>27</v>
      </c>
      <c r="H65" s="200" t="s">
        <v>19</v>
      </c>
      <c r="I65" s="210">
        <v>124153362</v>
      </c>
      <c r="J65" s="210"/>
      <c r="K65" s="494">
        <v>42556</v>
      </c>
      <c r="L65" s="494">
        <v>42640</v>
      </c>
      <c r="M65" s="494">
        <v>42643</v>
      </c>
      <c r="N65" s="217">
        <v>90</v>
      </c>
      <c r="O65" s="494">
        <v>42733</v>
      </c>
      <c r="P65" s="15" t="s">
        <v>157</v>
      </c>
      <c r="Q65" s="271" t="s">
        <v>158</v>
      </c>
      <c r="R65" s="11" t="s">
        <v>159</v>
      </c>
      <c r="S65" s="272" t="s">
        <v>285</v>
      </c>
      <c r="T65" s="268"/>
      <c r="U65" s="268"/>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c r="FG65" s="269"/>
      <c r="FH65" s="269"/>
      <c r="FI65" s="269"/>
      <c r="FJ65" s="269"/>
      <c r="FK65" s="269"/>
      <c r="FL65" s="269"/>
      <c r="FM65" s="269"/>
      <c r="FN65" s="269"/>
      <c r="FO65" s="269"/>
      <c r="FP65" s="269"/>
      <c r="FQ65" s="269"/>
      <c r="FR65" s="269"/>
      <c r="FS65" s="269"/>
      <c r="FT65" s="269"/>
      <c r="FU65" s="269"/>
      <c r="FV65" s="269"/>
      <c r="FW65" s="269"/>
      <c r="FX65" s="269"/>
      <c r="FY65" s="269"/>
      <c r="FZ65" s="269"/>
      <c r="GA65" s="269"/>
      <c r="GB65" s="269"/>
      <c r="GC65" s="269"/>
      <c r="GD65" s="269"/>
      <c r="GE65" s="269"/>
      <c r="GF65" s="269"/>
      <c r="GG65" s="269"/>
      <c r="GH65" s="269"/>
      <c r="GI65" s="269"/>
      <c r="GJ65" s="269"/>
      <c r="GK65" s="269"/>
      <c r="GL65" s="269"/>
      <c r="GM65" s="269"/>
      <c r="GN65" s="269"/>
      <c r="GO65" s="269"/>
      <c r="GP65" s="269"/>
      <c r="GQ65" s="269"/>
      <c r="GR65" s="269"/>
      <c r="GS65" s="269"/>
      <c r="GT65" s="269"/>
      <c r="GU65" s="269"/>
      <c r="GV65" s="269"/>
      <c r="GW65" s="269"/>
      <c r="GX65" s="269"/>
      <c r="GY65" s="269"/>
      <c r="GZ65" s="269"/>
      <c r="HA65" s="269"/>
      <c r="HB65" s="269"/>
      <c r="HC65" s="269"/>
      <c r="HD65" s="269"/>
      <c r="HE65" s="269"/>
      <c r="HF65" s="269"/>
      <c r="HG65" s="269"/>
      <c r="HH65" s="269"/>
      <c r="HI65" s="269"/>
      <c r="HJ65" s="269"/>
      <c r="HK65" s="269"/>
      <c r="HL65" s="269"/>
      <c r="HM65" s="269"/>
      <c r="HN65" s="269"/>
      <c r="HO65" s="269"/>
      <c r="HP65" s="269"/>
      <c r="HQ65" s="269"/>
      <c r="HR65" s="269"/>
      <c r="HS65" s="269"/>
      <c r="HT65" s="269"/>
      <c r="HU65" s="269"/>
      <c r="HV65" s="269"/>
      <c r="HW65" s="269"/>
      <c r="HX65" s="269"/>
      <c r="HY65" s="269"/>
      <c r="HZ65" s="269"/>
      <c r="IA65" s="269"/>
      <c r="IB65" s="269"/>
      <c r="IC65" s="269"/>
    </row>
    <row r="66" spans="1:237" s="260" customFormat="1" ht="93" customHeight="1" x14ac:dyDescent="0.2">
      <c r="A66" s="22">
        <f t="shared" si="4"/>
        <v>59</v>
      </c>
      <c r="B66" s="15" t="s">
        <v>154</v>
      </c>
      <c r="C66" s="214">
        <v>31201</v>
      </c>
      <c r="D66" s="24" t="s">
        <v>128</v>
      </c>
      <c r="E66" s="227">
        <v>3120103</v>
      </c>
      <c r="F66" s="15" t="s">
        <v>160</v>
      </c>
      <c r="G66" s="15" t="s">
        <v>27</v>
      </c>
      <c r="H66" s="200" t="s">
        <v>19</v>
      </c>
      <c r="I66" s="449">
        <v>108318032</v>
      </c>
      <c r="J66" s="210"/>
      <c r="K66" s="494">
        <v>42348</v>
      </c>
      <c r="L66" s="494">
        <v>42425</v>
      </c>
      <c r="M66" s="494">
        <v>42430</v>
      </c>
      <c r="N66" s="217">
        <v>365</v>
      </c>
      <c r="O66" s="494">
        <v>42795</v>
      </c>
      <c r="P66" s="211" t="s">
        <v>161</v>
      </c>
      <c r="Q66" s="218" t="s">
        <v>289</v>
      </c>
      <c r="R66" s="219" t="s">
        <v>381</v>
      </c>
      <c r="S66" s="272" t="s">
        <v>285</v>
      </c>
      <c r="T66" s="273" t="s">
        <v>283</v>
      </c>
      <c r="U66" s="221" t="s">
        <v>657</v>
      </c>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59"/>
      <c r="BX66" s="259"/>
      <c r="BY66" s="259"/>
      <c r="BZ66" s="259"/>
      <c r="CA66" s="259"/>
      <c r="CB66" s="259"/>
      <c r="CC66" s="259"/>
      <c r="CD66" s="259"/>
      <c r="CE66" s="259"/>
      <c r="CF66" s="259"/>
      <c r="CG66" s="259"/>
      <c r="CH66" s="259"/>
      <c r="CI66" s="259"/>
      <c r="CJ66" s="259"/>
      <c r="CK66" s="259"/>
      <c r="CL66" s="259"/>
      <c r="CM66" s="259"/>
      <c r="CN66" s="259"/>
      <c r="CO66" s="259"/>
      <c r="CP66" s="259"/>
      <c r="CQ66" s="259"/>
      <c r="CR66" s="259"/>
      <c r="CS66" s="259"/>
      <c r="CT66" s="259"/>
      <c r="CU66" s="259"/>
      <c r="CV66" s="259"/>
      <c r="CW66" s="259"/>
      <c r="CX66" s="259"/>
      <c r="CY66" s="259"/>
      <c r="CZ66" s="259"/>
      <c r="DA66" s="259"/>
      <c r="DB66" s="259"/>
      <c r="DC66" s="259"/>
      <c r="DD66" s="259"/>
      <c r="DE66" s="259"/>
      <c r="DF66" s="259"/>
      <c r="DG66" s="259"/>
      <c r="DH66" s="259"/>
      <c r="DI66" s="259"/>
      <c r="DJ66" s="259"/>
      <c r="DK66" s="259"/>
      <c r="DL66" s="259"/>
      <c r="DM66" s="259"/>
      <c r="DN66" s="259"/>
      <c r="DO66" s="259"/>
      <c r="DP66" s="259"/>
      <c r="DQ66" s="259"/>
      <c r="DR66" s="259"/>
      <c r="DS66" s="259"/>
      <c r="DT66" s="259"/>
      <c r="DU66" s="259"/>
      <c r="DV66" s="259"/>
      <c r="DW66" s="259"/>
      <c r="DX66" s="259"/>
      <c r="DY66" s="259"/>
      <c r="DZ66" s="259"/>
      <c r="EA66" s="259"/>
      <c r="EB66" s="259"/>
      <c r="EC66" s="259"/>
      <c r="ED66" s="259"/>
      <c r="EE66" s="259"/>
      <c r="EF66" s="259"/>
      <c r="EG66" s="259"/>
      <c r="EH66" s="259"/>
      <c r="EI66" s="259"/>
      <c r="EJ66" s="259"/>
      <c r="EK66" s="259"/>
      <c r="EL66" s="259"/>
      <c r="EM66" s="259"/>
      <c r="EN66" s="259"/>
      <c r="EO66" s="259"/>
      <c r="EP66" s="259"/>
      <c r="EQ66" s="259"/>
      <c r="ER66" s="259"/>
      <c r="ES66" s="259"/>
      <c r="ET66" s="259"/>
      <c r="EU66" s="259"/>
      <c r="EV66" s="259"/>
      <c r="EW66" s="259"/>
      <c r="EX66" s="259"/>
      <c r="EY66" s="259"/>
      <c r="EZ66" s="259"/>
      <c r="FA66" s="259"/>
      <c r="FB66" s="259"/>
      <c r="FC66" s="259"/>
      <c r="FD66" s="259"/>
      <c r="FE66" s="259"/>
      <c r="FF66" s="259"/>
      <c r="FG66" s="259"/>
      <c r="FH66" s="259"/>
      <c r="FI66" s="259"/>
      <c r="FJ66" s="259"/>
      <c r="FK66" s="259"/>
      <c r="FL66" s="259"/>
      <c r="FM66" s="259"/>
      <c r="FN66" s="259"/>
      <c r="FO66" s="259"/>
      <c r="FP66" s="259"/>
      <c r="FQ66" s="259"/>
      <c r="FR66" s="259"/>
      <c r="FS66" s="259"/>
      <c r="FT66" s="259"/>
      <c r="FU66" s="259"/>
      <c r="FV66" s="259"/>
      <c r="FW66" s="259"/>
      <c r="FX66" s="259"/>
      <c r="FY66" s="259"/>
      <c r="FZ66" s="259"/>
      <c r="GA66" s="259"/>
      <c r="GB66" s="259"/>
      <c r="GC66" s="259"/>
      <c r="GD66" s="259"/>
      <c r="GE66" s="259"/>
      <c r="GF66" s="259"/>
      <c r="GG66" s="259"/>
      <c r="GH66" s="259"/>
      <c r="GI66" s="259"/>
      <c r="GJ66" s="259"/>
      <c r="GK66" s="259"/>
      <c r="GL66" s="259"/>
      <c r="GM66" s="259"/>
      <c r="GN66" s="259"/>
      <c r="GO66" s="259"/>
      <c r="GP66" s="259"/>
      <c r="GQ66" s="259"/>
      <c r="GR66" s="259"/>
      <c r="GS66" s="259"/>
      <c r="GT66" s="259"/>
      <c r="GU66" s="259"/>
      <c r="GV66" s="259"/>
      <c r="GW66" s="259"/>
      <c r="GX66" s="259"/>
      <c r="GY66" s="259"/>
      <c r="GZ66" s="259"/>
      <c r="HA66" s="259"/>
      <c r="HB66" s="259"/>
      <c r="HC66" s="259"/>
      <c r="HD66" s="259"/>
      <c r="HE66" s="259"/>
      <c r="HF66" s="259"/>
      <c r="HG66" s="259"/>
      <c r="HH66" s="259"/>
      <c r="HI66" s="259"/>
      <c r="HJ66" s="259"/>
      <c r="HK66" s="259"/>
      <c r="HL66" s="259"/>
      <c r="HM66" s="259"/>
      <c r="HN66" s="259"/>
      <c r="HO66" s="259"/>
      <c r="HP66" s="259"/>
      <c r="HQ66" s="259"/>
      <c r="HR66" s="259"/>
      <c r="HS66" s="259"/>
      <c r="HT66" s="259"/>
      <c r="HU66" s="259"/>
      <c r="HV66" s="259"/>
      <c r="HW66" s="259"/>
      <c r="HX66" s="259"/>
      <c r="HY66" s="259"/>
      <c r="HZ66" s="259"/>
      <c r="IA66" s="259"/>
      <c r="IB66" s="259"/>
      <c r="IC66" s="259"/>
    </row>
    <row r="67" spans="1:237" s="270" customFormat="1" ht="107.25" customHeight="1" x14ac:dyDescent="0.2">
      <c r="A67" s="22">
        <f t="shared" si="4"/>
        <v>60</v>
      </c>
      <c r="B67" s="15" t="s">
        <v>154</v>
      </c>
      <c r="C67" s="23" t="s">
        <v>16</v>
      </c>
      <c r="D67" s="24" t="s">
        <v>221</v>
      </c>
      <c r="E67" s="227">
        <v>312020501</v>
      </c>
      <c r="F67" s="15" t="s">
        <v>162</v>
      </c>
      <c r="G67" s="15" t="s">
        <v>33</v>
      </c>
      <c r="H67" s="200" t="s">
        <v>19</v>
      </c>
      <c r="I67" s="210">
        <v>25456345</v>
      </c>
      <c r="J67" s="210"/>
      <c r="K67" s="494">
        <v>42496</v>
      </c>
      <c r="L67" s="494">
        <v>42559</v>
      </c>
      <c r="M67" s="494">
        <v>42565</v>
      </c>
      <c r="N67" s="217">
        <v>365</v>
      </c>
      <c r="O67" s="494">
        <v>42930</v>
      </c>
      <c r="P67" s="211" t="s">
        <v>163</v>
      </c>
      <c r="Q67" s="218" t="s">
        <v>164</v>
      </c>
      <c r="R67" s="219" t="s">
        <v>165</v>
      </c>
      <c r="S67" s="272" t="s">
        <v>285</v>
      </c>
      <c r="T67" s="268"/>
      <c r="U67" s="268"/>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c r="FG67" s="269"/>
      <c r="FH67" s="269"/>
      <c r="FI67" s="269"/>
      <c r="FJ67" s="269"/>
      <c r="FK67" s="269"/>
      <c r="FL67" s="269"/>
      <c r="FM67" s="269"/>
      <c r="FN67" s="269"/>
      <c r="FO67" s="269"/>
      <c r="FP67" s="269"/>
      <c r="FQ67" s="269"/>
      <c r="FR67" s="269"/>
      <c r="FS67" s="269"/>
      <c r="FT67" s="269"/>
      <c r="FU67" s="269"/>
      <c r="FV67" s="269"/>
      <c r="FW67" s="269"/>
      <c r="FX67" s="269"/>
      <c r="FY67" s="269"/>
      <c r="FZ67" s="269"/>
      <c r="GA67" s="269"/>
      <c r="GB67" s="269"/>
      <c r="GC67" s="269"/>
      <c r="GD67" s="269"/>
      <c r="GE67" s="269"/>
      <c r="GF67" s="269"/>
      <c r="GG67" s="269"/>
      <c r="GH67" s="269"/>
      <c r="GI67" s="269"/>
      <c r="GJ67" s="269"/>
      <c r="GK67" s="269"/>
      <c r="GL67" s="269"/>
      <c r="GM67" s="269"/>
      <c r="GN67" s="269"/>
      <c r="GO67" s="269"/>
      <c r="GP67" s="269"/>
      <c r="GQ67" s="269"/>
      <c r="GR67" s="269"/>
      <c r="GS67" s="269"/>
      <c r="GT67" s="269"/>
      <c r="GU67" s="269"/>
      <c r="GV67" s="269"/>
      <c r="GW67" s="269"/>
      <c r="GX67" s="269"/>
      <c r="GY67" s="269"/>
      <c r="GZ67" s="269"/>
      <c r="HA67" s="269"/>
      <c r="HB67" s="269"/>
      <c r="HC67" s="269"/>
      <c r="HD67" s="269"/>
      <c r="HE67" s="269"/>
      <c r="HF67" s="269"/>
      <c r="HG67" s="269"/>
      <c r="HH67" s="269"/>
      <c r="HI67" s="269"/>
      <c r="HJ67" s="269"/>
      <c r="HK67" s="269"/>
      <c r="HL67" s="269"/>
      <c r="HM67" s="269"/>
      <c r="HN67" s="269"/>
      <c r="HO67" s="269"/>
      <c r="HP67" s="269"/>
      <c r="HQ67" s="269"/>
      <c r="HR67" s="269"/>
      <c r="HS67" s="269"/>
      <c r="HT67" s="269"/>
      <c r="HU67" s="269"/>
      <c r="HV67" s="269"/>
      <c r="HW67" s="269"/>
      <c r="HX67" s="269"/>
      <c r="HY67" s="269"/>
      <c r="HZ67" s="269"/>
      <c r="IA67" s="269"/>
      <c r="IB67" s="269"/>
      <c r="IC67" s="269"/>
    </row>
    <row r="68" spans="1:237" s="19" customFormat="1" ht="69.75" customHeight="1" x14ac:dyDescent="0.2">
      <c r="A68" s="22">
        <f t="shared" si="4"/>
        <v>61</v>
      </c>
      <c r="B68" s="15" t="s">
        <v>154</v>
      </c>
      <c r="C68" s="214">
        <v>31201</v>
      </c>
      <c r="D68" s="24" t="s">
        <v>128</v>
      </c>
      <c r="E68" s="227">
        <v>3120103</v>
      </c>
      <c r="F68" s="15" t="s">
        <v>160</v>
      </c>
      <c r="G68" s="15" t="s">
        <v>33</v>
      </c>
      <c r="H68" s="200" t="s">
        <v>28</v>
      </c>
      <c r="I68" s="210">
        <v>15711000.000000002</v>
      </c>
      <c r="J68" s="210"/>
      <c r="K68" s="494">
        <v>42468</v>
      </c>
      <c r="L68" s="494">
        <v>42527</v>
      </c>
      <c r="M68" s="494">
        <v>42530</v>
      </c>
      <c r="N68" s="217">
        <v>365</v>
      </c>
      <c r="O68" s="494">
        <v>42895</v>
      </c>
      <c r="P68" s="211" t="s">
        <v>166</v>
      </c>
      <c r="Q68" s="218" t="s">
        <v>167</v>
      </c>
      <c r="R68" s="274" t="s">
        <v>168</v>
      </c>
      <c r="S68" s="272" t="s">
        <v>285</v>
      </c>
      <c r="T68" s="137"/>
      <c r="U68" s="137"/>
    </row>
    <row r="69" spans="1:237" s="19" customFormat="1" ht="72.75" customHeight="1" x14ac:dyDescent="0.2">
      <c r="A69" s="22">
        <f t="shared" si="4"/>
        <v>62</v>
      </c>
      <c r="B69" s="15" t="s">
        <v>154</v>
      </c>
      <c r="C69" s="214">
        <v>31201</v>
      </c>
      <c r="D69" s="24" t="s">
        <v>128</v>
      </c>
      <c r="E69" s="227">
        <v>3120103</v>
      </c>
      <c r="F69" s="15" t="s">
        <v>160</v>
      </c>
      <c r="G69" s="15" t="s">
        <v>33</v>
      </c>
      <c r="H69" s="200" t="s">
        <v>19</v>
      </c>
      <c r="I69" s="210">
        <v>28000000</v>
      </c>
      <c r="J69" s="210"/>
      <c r="K69" s="494">
        <v>42514</v>
      </c>
      <c r="L69" s="494">
        <v>42577</v>
      </c>
      <c r="M69" s="494">
        <v>42580</v>
      </c>
      <c r="N69" s="217">
        <v>90</v>
      </c>
      <c r="O69" s="494">
        <v>42670</v>
      </c>
      <c r="P69" s="211" t="s">
        <v>268</v>
      </c>
      <c r="Q69" s="218" t="s">
        <v>269</v>
      </c>
      <c r="R69" s="274" t="s">
        <v>270</v>
      </c>
      <c r="S69" s="272" t="s">
        <v>285</v>
      </c>
      <c r="T69" s="137"/>
      <c r="U69" s="137"/>
    </row>
    <row r="70" spans="1:237" s="19" customFormat="1" ht="68.25" customHeight="1" x14ac:dyDescent="0.2">
      <c r="A70" s="22">
        <f t="shared" si="4"/>
        <v>63</v>
      </c>
      <c r="B70" s="15" t="s">
        <v>154</v>
      </c>
      <c r="C70" s="214">
        <v>31201</v>
      </c>
      <c r="D70" s="124" t="s">
        <v>128</v>
      </c>
      <c r="E70" s="227">
        <v>3120102</v>
      </c>
      <c r="F70" s="266" t="s">
        <v>169</v>
      </c>
      <c r="G70" s="15" t="s">
        <v>27</v>
      </c>
      <c r="H70" s="200" t="s">
        <v>28</v>
      </c>
      <c r="I70" s="210">
        <f>50000000-18628800-1500200</f>
        <v>29871000</v>
      </c>
      <c r="J70" s="210"/>
      <c r="K70" s="494">
        <v>42591</v>
      </c>
      <c r="L70" s="494">
        <v>42675</v>
      </c>
      <c r="M70" s="494">
        <v>42678</v>
      </c>
      <c r="N70" s="217">
        <v>365</v>
      </c>
      <c r="O70" s="494">
        <v>43043</v>
      </c>
      <c r="P70" s="211" t="s">
        <v>170</v>
      </c>
      <c r="Q70" s="218" t="s">
        <v>676</v>
      </c>
      <c r="R70" s="274" t="s">
        <v>171</v>
      </c>
      <c r="S70" s="272" t="s">
        <v>285</v>
      </c>
      <c r="T70" s="137"/>
      <c r="U70" s="137"/>
    </row>
    <row r="71" spans="1:237" s="19" customFormat="1" ht="102" x14ac:dyDescent="0.2">
      <c r="A71" s="22">
        <f t="shared" si="4"/>
        <v>64</v>
      </c>
      <c r="B71" s="15" t="s">
        <v>154</v>
      </c>
      <c r="C71" s="200">
        <v>31202</v>
      </c>
      <c r="D71" s="24" t="s">
        <v>221</v>
      </c>
      <c r="E71" s="227">
        <v>3120203</v>
      </c>
      <c r="F71" s="15" t="s">
        <v>172</v>
      </c>
      <c r="G71" s="200" t="s">
        <v>83</v>
      </c>
      <c r="H71" s="208" t="s">
        <v>224</v>
      </c>
      <c r="I71" s="210">
        <v>56766586</v>
      </c>
      <c r="J71" s="210"/>
      <c r="K71" s="494">
        <v>42461</v>
      </c>
      <c r="L71" s="494">
        <v>42491</v>
      </c>
      <c r="M71" s="494">
        <f>L71+5</f>
        <v>42496</v>
      </c>
      <c r="N71" s="217">
        <v>365</v>
      </c>
      <c r="O71" s="494">
        <f>M71+N71</f>
        <v>42861</v>
      </c>
      <c r="P71" s="211" t="s">
        <v>173</v>
      </c>
      <c r="Q71" s="218" t="s">
        <v>672</v>
      </c>
      <c r="R71" s="274" t="s">
        <v>174</v>
      </c>
      <c r="S71" s="272" t="s">
        <v>285</v>
      </c>
      <c r="T71" s="221"/>
      <c r="U71" s="221"/>
    </row>
    <row r="72" spans="1:237" s="19" customFormat="1" ht="105" customHeight="1" x14ac:dyDescent="0.2">
      <c r="A72" s="22">
        <f t="shared" si="4"/>
        <v>65</v>
      </c>
      <c r="B72" s="15" t="s">
        <v>154</v>
      </c>
      <c r="C72" s="200">
        <v>31202</v>
      </c>
      <c r="D72" s="24" t="s">
        <v>221</v>
      </c>
      <c r="E72" s="227">
        <v>3120203</v>
      </c>
      <c r="F72" s="15" t="s">
        <v>172</v>
      </c>
      <c r="G72" s="200" t="s">
        <v>79</v>
      </c>
      <c r="H72" s="200" t="s">
        <v>28</v>
      </c>
      <c r="I72" s="210">
        <v>4747739</v>
      </c>
      <c r="J72" s="210"/>
      <c r="K72" s="494">
        <v>42461</v>
      </c>
      <c r="L72" s="494">
        <v>42491</v>
      </c>
      <c r="M72" s="494">
        <f>L72+5</f>
        <v>42496</v>
      </c>
      <c r="N72" s="217">
        <v>365</v>
      </c>
      <c r="O72" s="494">
        <f>M72+N72</f>
        <v>42861</v>
      </c>
      <c r="P72" s="211" t="s">
        <v>175</v>
      </c>
      <c r="Q72" s="218" t="s">
        <v>176</v>
      </c>
      <c r="R72" s="274" t="s">
        <v>177</v>
      </c>
      <c r="S72" s="272" t="s">
        <v>285</v>
      </c>
      <c r="T72" s="221"/>
      <c r="U72" s="221"/>
    </row>
    <row r="73" spans="1:237" s="232" customFormat="1" ht="81.75" customHeight="1" x14ac:dyDescent="0.2">
      <c r="A73" s="22">
        <f t="shared" ref="A73:A111" si="6">A72+1</f>
        <v>66</v>
      </c>
      <c r="B73" s="15" t="s">
        <v>154</v>
      </c>
      <c r="C73" s="214">
        <v>31202</v>
      </c>
      <c r="D73" s="24" t="s">
        <v>221</v>
      </c>
      <c r="E73" s="227">
        <v>3120204</v>
      </c>
      <c r="F73" s="266" t="s">
        <v>240</v>
      </c>
      <c r="G73" s="200" t="s">
        <v>27</v>
      </c>
      <c r="H73" s="200" t="s">
        <v>28</v>
      </c>
      <c r="I73" s="210">
        <v>60000000</v>
      </c>
      <c r="J73" s="210"/>
      <c r="K73" s="494">
        <v>42348</v>
      </c>
      <c r="L73" s="494">
        <v>42424</v>
      </c>
      <c r="M73" s="494">
        <v>42430</v>
      </c>
      <c r="N73" s="217">
        <v>365</v>
      </c>
      <c r="O73" s="494">
        <v>42795</v>
      </c>
      <c r="P73" s="211" t="s">
        <v>178</v>
      </c>
      <c r="Q73" s="218" t="s">
        <v>179</v>
      </c>
      <c r="R73" s="275" t="s">
        <v>179</v>
      </c>
      <c r="S73" s="272" t="s">
        <v>285</v>
      </c>
      <c r="T73" s="221" t="s">
        <v>284</v>
      </c>
      <c r="U73" s="221" t="s">
        <v>658</v>
      </c>
    </row>
    <row r="74" spans="1:237" s="232" customFormat="1" ht="126" customHeight="1" x14ac:dyDescent="0.2">
      <c r="A74" s="22">
        <f t="shared" si="6"/>
        <v>67</v>
      </c>
      <c r="B74" s="15" t="s">
        <v>154</v>
      </c>
      <c r="C74" s="23" t="s">
        <v>16</v>
      </c>
      <c r="D74" s="24" t="s">
        <v>221</v>
      </c>
      <c r="E74" s="227">
        <v>312020501</v>
      </c>
      <c r="F74" s="15" t="s">
        <v>86</v>
      </c>
      <c r="G74" s="200" t="s">
        <v>107</v>
      </c>
      <c r="H74" s="200" t="s">
        <v>28</v>
      </c>
      <c r="I74" s="210">
        <v>881054201</v>
      </c>
      <c r="J74" s="210"/>
      <c r="K74" s="494">
        <v>42359</v>
      </c>
      <c r="L74" s="494">
        <v>42457</v>
      </c>
      <c r="M74" s="494">
        <v>42461</v>
      </c>
      <c r="N74" s="217">
        <v>365</v>
      </c>
      <c r="O74" s="494">
        <v>42826</v>
      </c>
      <c r="P74" s="211" t="s">
        <v>180</v>
      </c>
      <c r="Q74" s="218" t="s">
        <v>181</v>
      </c>
      <c r="R74" s="274" t="s">
        <v>182</v>
      </c>
      <c r="S74" s="272" t="s">
        <v>285</v>
      </c>
      <c r="T74" s="9" t="s">
        <v>493</v>
      </c>
      <c r="U74" s="221" t="s">
        <v>333</v>
      </c>
    </row>
    <row r="75" spans="1:237" s="232" customFormat="1" ht="229.5" customHeight="1" x14ac:dyDescent="0.2">
      <c r="A75" s="22">
        <f t="shared" si="6"/>
        <v>68</v>
      </c>
      <c r="B75" s="15" t="s">
        <v>154</v>
      </c>
      <c r="C75" s="200">
        <v>31202</v>
      </c>
      <c r="D75" s="24" t="s">
        <v>221</v>
      </c>
      <c r="E75" s="227">
        <v>3120201</v>
      </c>
      <c r="F75" s="15" t="s">
        <v>183</v>
      </c>
      <c r="G75" s="200" t="s">
        <v>83</v>
      </c>
      <c r="H75" s="9" t="s">
        <v>184</v>
      </c>
      <c r="I75" s="210">
        <v>72351180</v>
      </c>
      <c r="J75" s="210">
        <v>72351180</v>
      </c>
      <c r="K75" s="494">
        <v>42377</v>
      </c>
      <c r="L75" s="494">
        <v>42401</v>
      </c>
      <c r="M75" s="494">
        <v>42403</v>
      </c>
      <c r="N75" s="217">
        <v>365</v>
      </c>
      <c r="O75" s="494">
        <v>42768</v>
      </c>
      <c r="P75" s="211" t="s">
        <v>185</v>
      </c>
      <c r="Q75" s="221" t="s">
        <v>506</v>
      </c>
      <c r="R75" s="219" t="s">
        <v>186</v>
      </c>
      <c r="S75" s="272" t="s">
        <v>285</v>
      </c>
      <c r="T75" s="276" t="s">
        <v>384</v>
      </c>
      <c r="U75" s="221" t="s">
        <v>340</v>
      </c>
    </row>
    <row r="76" spans="1:237" s="19" customFormat="1" ht="101.25" customHeight="1" x14ac:dyDescent="0.2">
      <c r="A76" s="22">
        <f t="shared" si="6"/>
        <v>69</v>
      </c>
      <c r="B76" s="15" t="s">
        <v>154</v>
      </c>
      <c r="C76" s="23" t="s">
        <v>16</v>
      </c>
      <c r="D76" s="24" t="s">
        <v>221</v>
      </c>
      <c r="E76" s="227">
        <v>312020501</v>
      </c>
      <c r="F76" s="15" t="s">
        <v>86</v>
      </c>
      <c r="G76" s="200" t="s">
        <v>79</v>
      </c>
      <c r="H76" s="200" t="s">
        <v>28</v>
      </c>
      <c r="I76" s="210">
        <v>29877362</v>
      </c>
      <c r="J76" s="210"/>
      <c r="K76" s="494">
        <v>42513</v>
      </c>
      <c r="L76" s="494">
        <v>42576</v>
      </c>
      <c r="M76" s="494">
        <v>42580</v>
      </c>
      <c r="N76" s="217">
        <v>365</v>
      </c>
      <c r="O76" s="494">
        <v>42945</v>
      </c>
      <c r="P76" s="16" t="s">
        <v>187</v>
      </c>
      <c r="Q76" s="218" t="s">
        <v>188</v>
      </c>
      <c r="R76" s="219" t="s">
        <v>189</v>
      </c>
      <c r="S76" s="272" t="s">
        <v>285</v>
      </c>
      <c r="T76" s="137"/>
      <c r="U76" s="137"/>
    </row>
    <row r="77" spans="1:237" s="19" customFormat="1" ht="116.25" customHeight="1" x14ac:dyDescent="0.2">
      <c r="A77" s="22">
        <f t="shared" si="6"/>
        <v>70</v>
      </c>
      <c r="B77" s="15" t="s">
        <v>154</v>
      </c>
      <c r="C77" s="23" t="s">
        <v>16</v>
      </c>
      <c r="D77" s="24" t="s">
        <v>221</v>
      </c>
      <c r="E77" s="227">
        <v>312020501</v>
      </c>
      <c r="F77" s="15" t="s">
        <v>86</v>
      </c>
      <c r="G77" s="200" t="s">
        <v>27</v>
      </c>
      <c r="H77" s="200" t="s">
        <v>28</v>
      </c>
      <c r="I77" s="210">
        <v>102537737</v>
      </c>
      <c r="J77" s="210"/>
      <c r="K77" s="494">
        <v>42543</v>
      </c>
      <c r="L77" s="494">
        <v>42627</v>
      </c>
      <c r="M77" s="494">
        <v>42632</v>
      </c>
      <c r="N77" s="217">
        <v>365</v>
      </c>
      <c r="O77" s="494">
        <v>42997</v>
      </c>
      <c r="P77" s="16" t="s">
        <v>190</v>
      </c>
      <c r="Q77" s="218" t="s">
        <v>191</v>
      </c>
      <c r="R77" s="219" t="s">
        <v>189</v>
      </c>
      <c r="S77" s="272" t="s">
        <v>285</v>
      </c>
      <c r="T77" s="137"/>
      <c r="U77" s="137"/>
    </row>
    <row r="78" spans="1:237" s="19" customFormat="1" ht="69" customHeight="1" x14ac:dyDescent="0.2">
      <c r="A78" s="22">
        <f t="shared" si="6"/>
        <v>71</v>
      </c>
      <c r="B78" s="15" t="s">
        <v>154</v>
      </c>
      <c r="C78" s="23" t="s">
        <v>16</v>
      </c>
      <c r="D78" s="24" t="s">
        <v>221</v>
      </c>
      <c r="E78" s="227">
        <v>312020501</v>
      </c>
      <c r="F78" s="15" t="s">
        <v>86</v>
      </c>
      <c r="G78" s="200" t="s">
        <v>79</v>
      </c>
      <c r="H78" s="200" t="s">
        <v>28</v>
      </c>
      <c r="I78" s="210">
        <v>10474000.000000002</v>
      </c>
      <c r="J78" s="210"/>
      <c r="K78" s="494">
        <v>42527</v>
      </c>
      <c r="L78" s="494">
        <v>42590</v>
      </c>
      <c r="M78" s="494">
        <v>42594</v>
      </c>
      <c r="N78" s="217">
        <v>365</v>
      </c>
      <c r="O78" s="494">
        <v>42959</v>
      </c>
      <c r="P78" s="16" t="s">
        <v>192</v>
      </c>
      <c r="Q78" s="243" t="s">
        <v>193</v>
      </c>
      <c r="R78" s="219" t="s">
        <v>194</v>
      </c>
      <c r="S78" s="272" t="s">
        <v>285</v>
      </c>
      <c r="T78" s="137"/>
      <c r="U78" s="137"/>
    </row>
    <row r="79" spans="1:237" s="19" customFormat="1" ht="155.25" customHeight="1" x14ac:dyDescent="0.2">
      <c r="A79" s="22">
        <f t="shared" si="6"/>
        <v>72</v>
      </c>
      <c r="B79" s="15" t="s">
        <v>154</v>
      </c>
      <c r="C79" s="213" t="s">
        <v>152</v>
      </c>
      <c r="D79" s="24" t="s">
        <v>111</v>
      </c>
      <c r="E79" s="214">
        <v>311020301</v>
      </c>
      <c r="F79" s="15" t="s">
        <v>82</v>
      </c>
      <c r="G79" s="200" t="s">
        <v>79</v>
      </c>
      <c r="H79" s="200" t="s">
        <v>28</v>
      </c>
      <c r="I79" s="210">
        <f>50000000-5000000</f>
        <v>45000000</v>
      </c>
      <c r="J79" s="210"/>
      <c r="K79" s="494">
        <v>42114</v>
      </c>
      <c r="L79" s="494">
        <v>42535</v>
      </c>
      <c r="M79" s="494">
        <f>L79+L811</f>
        <v>42535</v>
      </c>
      <c r="N79" s="217">
        <v>120</v>
      </c>
      <c r="O79" s="494">
        <f>M79+N79</f>
        <v>42655</v>
      </c>
      <c r="P79" s="16" t="s">
        <v>195</v>
      </c>
      <c r="Q79" s="218" t="s">
        <v>670</v>
      </c>
      <c r="R79" s="219" t="s">
        <v>196</v>
      </c>
      <c r="S79" s="272" t="s">
        <v>285</v>
      </c>
      <c r="T79" s="137"/>
      <c r="U79" s="137"/>
    </row>
    <row r="80" spans="1:237" s="232" customFormat="1" ht="171.75" customHeight="1" x14ac:dyDescent="0.2">
      <c r="A80" s="22">
        <f t="shared" si="6"/>
        <v>73</v>
      </c>
      <c r="B80" s="15" t="s">
        <v>154</v>
      </c>
      <c r="C80" s="214">
        <v>33</v>
      </c>
      <c r="D80" s="10" t="s">
        <v>24</v>
      </c>
      <c r="E80" s="227" t="s">
        <v>100</v>
      </c>
      <c r="F80" s="10" t="s">
        <v>222</v>
      </c>
      <c r="G80" s="9" t="s">
        <v>209</v>
      </c>
      <c r="H80" s="200" t="s">
        <v>276</v>
      </c>
      <c r="I80" s="210">
        <v>28000000</v>
      </c>
      <c r="J80" s="210"/>
      <c r="K80" s="494">
        <v>42359</v>
      </c>
      <c r="L80" s="494">
        <v>42419</v>
      </c>
      <c r="M80" s="494">
        <v>42422</v>
      </c>
      <c r="N80" s="217">
        <v>90</v>
      </c>
      <c r="O80" s="494">
        <v>42512</v>
      </c>
      <c r="P80" s="277" t="s">
        <v>197</v>
      </c>
      <c r="Q80" s="218" t="s">
        <v>360</v>
      </c>
      <c r="R80" s="219" t="s">
        <v>267</v>
      </c>
      <c r="S80" s="272" t="s">
        <v>285</v>
      </c>
      <c r="T80" s="276" t="s">
        <v>684</v>
      </c>
      <c r="U80" s="221" t="s">
        <v>333</v>
      </c>
    </row>
    <row r="81" spans="1:21" s="19" customFormat="1" ht="153" customHeight="1" x14ac:dyDescent="0.2">
      <c r="A81" s="22">
        <f t="shared" si="6"/>
        <v>74</v>
      </c>
      <c r="B81" s="15" t="s">
        <v>154</v>
      </c>
      <c r="C81" s="214">
        <v>33</v>
      </c>
      <c r="D81" s="10" t="s">
        <v>24</v>
      </c>
      <c r="E81" s="227" t="s">
        <v>100</v>
      </c>
      <c r="F81" s="10" t="s">
        <v>222</v>
      </c>
      <c r="G81" s="209" t="s">
        <v>107</v>
      </c>
      <c r="H81" s="200" t="s">
        <v>198</v>
      </c>
      <c r="I81" s="210">
        <v>312000000</v>
      </c>
      <c r="J81" s="210"/>
      <c r="K81" s="494">
        <v>42521</v>
      </c>
      <c r="L81" s="494">
        <v>42614</v>
      </c>
      <c r="M81" s="494">
        <v>42619</v>
      </c>
      <c r="N81" s="217">
        <v>180</v>
      </c>
      <c r="O81" s="494">
        <v>42799</v>
      </c>
      <c r="P81" s="16" t="s">
        <v>199</v>
      </c>
      <c r="Q81" s="218" t="s">
        <v>361</v>
      </c>
      <c r="R81" s="219" t="s">
        <v>200</v>
      </c>
      <c r="S81" s="272" t="s">
        <v>285</v>
      </c>
      <c r="T81" s="137"/>
      <c r="U81" s="137"/>
    </row>
    <row r="82" spans="1:21" s="19" customFormat="1" ht="93.75" customHeight="1" x14ac:dyDescent="0.2">
      <c r="A82" s="22">
        <f t="shared" si="6"/>
        <v>75</v>
      </c>
      <c r="B82" s="15" t="s">
        <v>154</v>
      </c>
      <c r="C82" s="214">
        <v>33</v>
      </c>
      <c r="D82" s="10" t="s">
        <v>24</v>
      </c>
      <c r="E82" s="227" t="s">
        <v>100</v>
      </c>
      <c r="F82" s="10" t="s">
        <v>222</v>
      </c>
      <c r="G82" s="200" t="s">
        <v>27</v>
      </c>
      <c r="H82" s="200" t="s">
        <v>28</v>
      </c>
      <c r="I82" s="210">
        <v>100000000</v>
      </c>
      <c r="J82" s="210"/>
      <c r="K82" s="494">
        <v>42479</v>
      </c>
      <c r="L82" s="494">
        <v>42563</v>
      </c>
      <c r="M82" s="494">
        <v>42569</v>
      </c>
      <c r="N82" s="217">
        <v>150</v>
      </c>
      <c r="O82" s="494">
        <v>42719</v>
      </c>
      <c r="P82" s="16" t="s">
        <v>201</v>
      </c>
      <c r="Q82" s="218" t="s">
        <v>362</v>
      </c>
      <c r="R82" s="219" t="s">
        <v>202</v>
      </c>
      <c r="S82" s="272" t="s">
        <v>285</v>
      </c>
      <c r="T82" s="137"/>
      <c r="U82" s="137"/>
    </row>
    <row r="83" spans="1:21" s="19" customFormat="1" ht="81.75" customHeight="1" x14ac:dyDescent="0.2">
      <c r="A83" s="22">
        <f t="shared" si="6"/>
        <v>76</v>
      </c>
      <c r="B83" s="15" t="s">
        <v>154</v>
      </c>
      <c r="C83" s="214">
        <v>33</v>
      </c>
      <c r="D83" s="10" t="s">
        <v>24</v>
      </c>
      <c r="E83" s="227" t="s">
        <v>100</v>
      </c>
      <c r="F83" s="10" t="s">
        <v>222</v>
      </c>
      <c r="G83" s="200" t="s">
        <v>27</v>
      </c>
      <c r="H83" s="200" t="s">
        <v>65</v>
      </c>
      <c r="I83" s="210">
        <v>43000000</v>
      </c>
      <c r="J83" s="210"/>
      <c r="K83" s="494">
        <v>42527</v>
      </c>
      <c r="L83" s="494">
        <v>42611</v>
      </c>
      <c r="M83" s="494">
        <v>42613</v>
      </c>
      <c r="N83" s="217">
        <v>60</v>
      </c>
      <c r="O83" s="494">
        <v>42673</v>
      </c>
      <c r="P83" s="16" t="s">
        <v>203</v>
      </c>
      <c r="Q83" s="218" t="s">
        <v>363</v>
      </c>
      <c r="R83" s="219" t="s">
        <v>204</v>
      </c>
      <c r="S83" s="272" t="s">
        <v>285</v>
      </c>
      <c r="T83" s="137"/>
      <c r="U83" s="137"/>
    </row>
    <row r="84" spans="1:21" s="19" customFormat="1" ht="220.5" customHeight="1" x14ac:dyDescent="0.2">
      <c r="A84" s="22">
        <f t="shared" si="6"/>
        <v>77</v>
      </c>
      <c r="B84" s="15" t="s">
        <v>154</v>
      </c>
      <c r="C84" s="214">
        <v>33</v>
      </c>
      <c r="D84" s="10" t="s">
        <v>24</v>
      </c>
      <c r="E84" s="227" t="s">
        <v>100</v>
      </c>
      <c r="F84" s="10" t="s">
        <v>222</v>
      </c>
      <c r="G84" s="209" t="s">
        <v>107</v>
      </c>
      <c r="H84" s="200" t="s">
        <v>198</v>
      </c>
      <c r="I84" s="210">
        <v>260000000</v>
      </c>
      <c r="J84" s="210"/>
      <c r="K84" s="494">
        <v>42563</v>
      </c>
      <c r="L84" s="494">
        <v>42658</v>
      </c>
      <c r="M84" s="494">
        <v>42663</v>
      </c>
      <c r="N84" s="217">
        <v>240</v>
      </c>
      <c r="O84" s="494">
        <v>42903</v>
      </c>
      <c r="P84" s="16" t="s">
        <v>201</v>
      </c>
      <c r="Q84" s="218" t="s">
        <v>364</v>
      </c>
      <c r="R84" s="219" t="s">
        <v>205</v>
      </c>
      <c r="S84" s="272" t="s">
        <v>285</v>
      </c>
      <c r="T84" s="137"/>
      <c r="U84" s="137"/>
    </row>
    <row r="85" spans="1:21" s="19" customFormat="1" ht="103.5" customHeight="1" x14ac:dyDescent="0.2">
      <c r="A85" s="22">
        <f t="shared" si="6"/>
        <v>78</v>
      </c>
      <c r="B85" s="14" t="s">
        <v>154</v>
      </c>
      <c r="C85" s="227">
        <v>33</v>
      </c>
      <c r="D85" s="10" t="s">
        <v>24</v>
      </c>
      <c r="E85" s="200" t="s">
        <v>100</v>
      </c>
      <c r="F85" s="10" t="s">
        <v>222</v>
      </c>
      <c r="G85" s="209" t="s">
        <v>223</v>
      </c>
      <c r="H85" s="201" t="s">
        <v>206</v>
      </c>
      <c r="I85" s="210">
        <v>22200000</v>
      </c>
      <c r="J85" s="210"/>
      <c r="K85" s="494">
        <v>42563</v>
      </c>
      <c r="L85" s="494">
        <v>42703</v>
      </c>
      <c r="M85" s="494">
        <v>42708</v>
      </c>
      <c r="N85" s="217">
        <v>270</v>
      </c>
      <c r="O85" s="494">
        <v>42978</v>
      </c>
      <c r="P85" s="16" t="s">
        <v>207</v>
      </c>
      <c r="Q85" s="218" t="s">
        <v>365</v>
      </c>
      <c r="R85" s="219" t="s">
        <v>208</v>
      </c>
      <c r="S85" s="272" t="s">
        <v>285</v>
      </c>
      <c r="T85" s="137"/>
      <c r="U85" s="137"/>
    </row>
    <row r="86" spans="1:21" s="19" customFormat="1" ht="63.75" customHeight="1" x14ac:dyDescent="0.2">
      <c r="A86" s="22">
        <f t="shared" si="6"/>
        <v>79</v>
      </c>
      <c r="B86" s="14" t="s">
        <v>213</v>
      </c>
      <c r="C86" s="209">
        <v>33</v>
      </c>
      <c r="D86" s="205" t="s">
        <v>274</v>
      </c>
      <c r="E86" s="248" t="s">
        <v>100</v>
      </c>
      <c r="F86" s="9" t="s">
        <v>101</v>
      </c>
      <c r="G86" s="9" t="s">
        <v>209</v>
      </c>
      <c r="H86" s="9" t="s">
        <v>210</v>
      </c>
      <c r="I86" s="249">
        <v>5200000</v>
      </c>
      <c r="J86" s="137"/>
      <c r="K86" s="504">
        <v>42625</v>
      </c>
      <c r="L86" s="504">
        <f>+K86+63</f>
        <v>42688</v>
      </c>
      <c r="M86" s="504">
        <f>+L86+7</f>
        <v>42695</v>
      </c>
      <c r="N86" s="250">
        <v>15</v>
      </c>
      <c r="O86" s="504">
        <f>+M86+N86</f>
        <v>42710</v>
      </c>
      <c r="P86" s="251" t="s">
        <v>211</v>
      </c>
      <c r="Q86" s="208" t="s">
        <v>348</v>
      </c>
      <c r="R86" s="20" t="s">
        <v>212</v>
      </c>
      <c r="S86" s="221" t="s">
        <v>334</v>
      </c>
      <c r="T86" s="137"/>
      <c r="U86" s="137"/>
    </row>
    <row r="87" spans="1:21" s="19" customFormat="1" ht="89.25" customHeight="1" x14ac:dyDescent="0.2">
      <c r="A87" s="22">
        <f t="shared" si="6"/>
        <v>80</v>
      </c>
      <c r="B87" s="14" t="s">
        <v>213</v>
      </c>
      <c r="C87" s="209">
        <v>33</v>
      </c>
      <c r="D87" s="205" t="s">
        <v>274</v>
      </c>
      <c r="E87" s="248" t="s">
        <v>100</v>
      </c>
      <c r="F87" s="9" t="s">
        <v>101</v>
      </c>
      <c r="G87" s="9" t="s">
        <v>209</v>
      </c>
      <c r="H87" s="9" t="s">
        <v>210</v>
      </c>
      <c r="I87" s="249">
        <v>3000000</v>
      </c>
      <c r="J87" s="137"/>
      <c r="K87" s="504">
        <v>42646</v>
      </c>
      <c r="L87" s="504">
        <f t="shared" ref="L87:L94" si="7">+K87+63</f>
        <v>42709</v>
      </c>
      <c r="M87" s="504">
        <f>+L87+7</f>
        <v>42716</v>
      </c>
      <c r="N87" s="250">
        <v>15</v>
      </c>
      <c r="O87" s="504">
        <f>+M87+N87</f>
        <v>42731</v>
      </c>
      <c r="P87" s="251" t="s">
        <v>291</v>
      </c>
      <c r="Q87" s="208" t="s">
        <v>349</v>
      </c>
      <c r="R87" s="20" t="s">
        <v>292</v>
      </c>
      <c r="S87" s="221" t="s">
        <v>334</v>
      </c>
      <c r="T87" s="137"/>
      <c r="U87" s="137"/>
    </row>
    <row r="88" spans="1:21" s="19" customFormat="1" ht="127.5" customHeight="1" x14ac:dyDescent="0.2">
      <c r="A88" s="22">
        <f t="shared" si="6"/>
        <v>81</v>
      </c>
      <c r="B88" s="14" t="s">
        <v>213</v>
      </c>
      <c r="C88" s="209">
        <v>33</v>
      </c>
      <c r="D88" s="252" t="s">
        <v>274</v>
      </c>
      <c r="E88" s="248" t="s">
        <v>100</v>
      </c>
      <c r="F88" s="9" t="s">
        <v>101</v>
      </c>
      <c r="G88" s="9" t="s">
        <v>209</v>
      </c>
      <c r="H88" s="9" t="s">
        <v>73</v>
      </c>
      <c r="I88" s="249">
        <v>5000000</v>
      </c>
      <c r="J88" s="137"/>
      <c r="K88" s="504">
        <v>42489</v>
      </c>
      <c r="L88" s="504">
        <f t="shared" si="7"/>
        <v>42552</v>
      </c>
      <c r="M88" s="504">
        <f t="shared" ref="M88:M94" si="8">+L88+7</f>
        <v>42559</v>
      </c>
      <c r="N88" s="250">
        <v>45</v>
      </c>
      <c r="O88" s="504">
        <f t="shared" ref="O88:O94" si="9">+M88+N88</f>
        <v>42604</v>
      </c>
      <c r="P88" s="9" t="s">
        <v>293</v>
      </c>
      <c r="Q88" s="208" t="s">
        <v>549</v>
      </c>
      <c r="R88" s="208" t="s">
        <v>294</v>
      </c>
      <c r="S88" s="221" t="s">
        <v>334</v>
      </c>
      <c r="T88" s="137"/>
      <c r="U88" s="137"/>
    </row>
    <row r="89" spans="1:21" s="19" customFormat="1" ht="89.25" customHeight="1" x14ac:dyDescent="0.2">
      <c r="A89" s="22">
        <f t="shared" si="6"/>
        <v>82</v>
      </c>
      <c r="B89" s="14" t="s">
        <v>213</v>
      </c>
      <c r="C89" s="209">
        <v>33</v>
      </c>
      <c r="D89" s="252" t="s">
        <v>274</v>
      </c>
      <c r="E89" s="248" t="s">
        <v>100</v>
      </c>
      <c r="F89" s="9" t="s">
        <v>101</v>
      </c>
      <c r="G89" s="9" t="s">
        <v>209</v>
      </c>
      <c r="H89" s="9" t="s">
        <v>73</v>
      </c>
      <c r="I89" s="249">
        <v>11000000</v>
      </c>
      <c r="J89" s="137"/>
      <c r="K89" s="504">
        <v>42489</v>
      </c>
      <c r="L89" s="504">
        <f>+K89+63</f>
        <v>42552</v>
      </c>
      <c r="M89" s="504">
        <f>+L89+7</f>
        <v>42559</v>
      </c>
      <c r="N89" s="250">
        <v>120</v>
      </c>
      <c r="O89" s="504">
        <f t="shared" si="9"/>
        <v>42679</v>
      </c>
      <c r="P89" s="9" t="s">
        <v>295</v>
      </c>
      <c r="Q89" s="208" t="s">
        <v>350</v>
      </c>
      <c r="R89" s="208" t="s">
        <v>296</v>
      </c>
      <c r="S89" s="221" t="s">
        <v>334</v>
      </c>
      <c r="T89" s="137"/>
      <c r="U89" s="137"/>
    </row>
    <row r="90" spans="1:21" s="19" customFormat="1" ht="93.75" customHeight="1" x14ac:dyDescent="0.2">
      <c r="A90" s="22">
        <f t="shared" si="6"/>
        <v>83</v>
      </c>
      <c r="B90" s="14" t="s">
        <v>213</v>
      </c>
      <c r="C90" s="227">
        <v>33</v>
      </c>
      <c r="D90" s="225" t="s">
        <v>274</v>
      </c>
      <c r="E90" s="253" t="s">
        <v>100</v>
      </c>
      <c r="F90" s="200" t="s">
        <v>101</v>
      </c>
      <c r="G90" s="200" t="s">
        <v>79</v>
      </c>
      <c r="H90" s="10" t="s">
        <v>28</v>
      </c>
      <c r="I90" s="254">
        <f>576164*4</f>
        <v>2304656</v>
      </c>
      <c r="J90" s="137"/>
      <c r="K90" s="503">
        <v>42459</v>
      </c>
      <c r="L90" s="502">
        <v>42461</v>
      </c>
      <c r="M90" s="502">
        <v>42465</v>
      </c>
      <c r="N90" s="226">
        <v>120</v>
      </c>
      <c r="O90" s="502">
        <v>42586</v>
      </c>
      <c r="P90" s="200" t="s">
        <v>214</v>
      </c>
      <c r="Q90" s="10" t="s">
        <v>602</v>
      </c>
      <c r="R90" s="10" t="s">
        <v>297</v>
      </c>
      <c r="S90" s="221" t="s">
        <v>334</v>
      </c>
      <c r="T90" s="221" t="s">
        <v>627</v>
      </c>
      <c r="U90" s="221" t="s">
        <v>333</v>
      </c>
    </row>
    <row r="91" spans="1:21" s="19" customFormat="1" ht="76.5" customHeight="1" x14ac:dyDescent="0.2">
      <c r="A91" s="22">
        <f t="shared" si="6"/>
        <v>84</v>
      </c>
      <c r="B91" s="14" t="s">
        <v>213</v>
      </c>
      <c r="C91" s="227">
        <v>33</v>
      </c>
      <c r="D91" s="225" t="s">
        <v>274</v>
      </c>
      <c r="E91" s="253" t="s">
        <v>100</v>
      </c>
      <c r="F91" s="200" t="s">
        <v>101</v>
      </c>
      <c r="G91" s="200" t="s">
        <v>79</v>
      </c>
      <c r="H91" s="10" t="s">
        <v>28</v>
      </c>
      <c r="I91" s="254">
        <f>7800000-2304656</f>
        <v>5495344</v>
      </c>
      <c r="J91" s="385"/>
      <c r="K91" s="503">
        <v>42585</v>
      </c>
      <c r="L91" s="504">
        <f>K91+5</f>
        <v>42590</v>
      </c>
      <c r="M91" s="504">
        <f t="shared" si="8"/>
        <v>42597</v>
      </c>
      <c r="N91" s="226">
        <v>330</v>
      </c>
      <c r="O91" s="504">
        <f t="shared" si="9"/>
        <v>42927</v>
      </c>
      <c r="P91" s="200" t="s">
        <v>214</v>
      </c>
      <c r="Q91" s="10" t="s">
        <v>351</v>
      </c>
      <c r="R91" s="10" t="s">
        <v>297</v>
      </c>
      <c r="S91" s="221" t="s">
        <v>334</v>
      </c>
      <c r="T91" s="137"/>
      <c r="U91" s="137"/>
    </row>
    <row r="92" spans="1:21" s="19" customFormat="1" ht="101.25" customHeight="1" x14ac:dyDescent="0.2">
      <c r="A92" s="22">
        <f t="shared" si="6"/>
        <v>85</v>
      </c>
      <c r="B92" s="14" t="s">
        <v>213</v>
      </c>
      <c r="C92" s="255">
        <v>33</v>
      </c>
      <c r="D92" s="252" t="s">
        <v>274</v>
      </c>
      <c r="E92" s="18" t="s">
        <v>100</v>
      </c>
      <c r="F92" s="9" t="s">
        <v>101</v>
      </c>
      <c r="G92" s="9" t="s">
        <v>209</v>
      </c>
      <c r="H92" s="9" t="s">
        <v>215</v>
      </c>
      <c r="I92" s="21">
        <v>3000000</v>
      </c>
      <c r="J92" s="137"/>
      <c r="K92" s="503">
        <v>42052</v>
      </c>
      <c r="L92" s="504">
        <f t="shared" si="7"/>
        <v>42115</v>
      </c>
      <c r="M92" s="504">
        <f t="shared" si="8"/>
        <v>42122</v>
      </c>
      <c r="N92" s="226">
        <v>15</v>
      </c>
      <c r="O92" s="504">
        <f t="shared" si="9"/>
        <v>42137</v>
      </c>
      <c r="P92" s="9" t="s">
        <v>217</v>
      </c>
      <c r="Q92" s="208" t="s">
        <v>356</v>
      </c>
      <c r="R92" s="10" t="s">
        <v>218</v>
      </c>
      <c r="S92" s="221" t="s">
        <v>334</v>
      </c>
      <c r="T92" s="221" t="s">
        <v>357</v>
      </c>
      <c r="U92" s="221" t="s">
        <v>660</v>
      </c>
    </row>
    <row r="93" spans="1:21" s="19" customFormat="1" ht="127.5" customHeight="1" x14ac:dyDescent="0.2">
      <c r="A93" s="22">
        <f t="shared" si="6"/>
        <v>86</v>
      </c>
      <c r="B93" s="14" t="s">
        <v>213</v>
      </c>
      <c r="C93" s="209">
        <v>33</v>
      </c>
      <c r="D93" s="252" t="s">
        <v>274</v>
      </c>
      <c r="E93" s="248" t="s">
        <v>100</v>
      </c>
      <c r="F93" s="9" t="s">
        <v>101</v>
      </c>
      <c r="G93" s="9" t="s">
        <v>209</v>
      </c>
      <c r="H93" s="9" t="s">
        <v>215</v>
      </c>
      <c r="I93" s="249">
        <v>4200000</v>
      </c>
      <c r="J93" s="137"/>
      <c r="K93" s="504">
        <v>42592</v>
      </c>
      <c r="L93" s="504">
        <f t="shared" si="7"/>
        <v>42655</v>
      </c>
      <c r="M93" s="504">
        <f t="shared" si="8"/>
        <v>42662</v>
      </c>
      <c r="N93" s="250">
        <v>60</v>
      </c>
      <c r="O93" s="504">
        <f t="shared" si="9"/>
        <v>42722</v>
      </c>
      <c r="P93" s="9" t="s">
        <v>216</v>
      </c>
      <c r="Q93" s="208" t="s">
        <v>352</v>
      </c>
      <c r="R93" s="20" t="s">
        <v>219</v>
      </c>
      <c r="S93" s="221" t="s">
        <v>334</v>
      </c>
      <c r="T93" s="137"/>
      <c r="U93" s="137"/>
    </row>
    <row r="94" spans="1:21" s="19" customFormat="1" ht="89.25" customHeight="1" x14ac:dyDescent="0.2">
      <c r="A94" s="22">
        <f t="shared" si="6"/>
        <v>87</v>
      </c>
      <c r="B94" s="14" t="s">
        <v>213</v>
      </c>
      <c r="C94" s="29">
        <v>33</v>
      </c>
      <c r="D94" s="252" t="s">
        <v>274</v>
      </c>
      <c r="E94" s="248" t="s">
        <v>100</v>
      </c>
      <c r="F94" s="9" t="s">
        <v>101</v>
      </c>
      <c r="G94" s="9" t="s">
        <v>209</v>
      </c>
      <c r="H94" s="9" t="s">
        <v>215</v>
      </c>
      <c r="I94" s="21">
        <v>3000000</v>
      </c>
      <c r="J94" s="137"/>
      <c r="K94" s="503">
        <v>42653</v>
      </c>
      <c r="L94" s="504">
        <f t="shared" si="7"/>
        <v>42716</v>
      </c>
      <c r="M94" s="504">
        <f t="shared" si="8"/>
        <v>42723</v>
      </c>
      <c r="N94" s="226">
        <v>30</v>
      </c>
      <c r="O94" s="504">
        <f t="shared" si="9"/>
        <v>42753</v>
      </c>
      <c r="P94" s="9" t="s">
        <v>216</v>
      </c>
      <c r="Q94" s="20" t="s">
        <v>353</v>
      </c>
      <c r="R94" s="10" t="s">
        <v>220</v>
      </c>
      <c r="S94" s="221" t="s">
        <v>334</v>
      </c>
      <c r="T94" s="137"/>
      <c r="U94" s="137"/>
    </row>
    <row r="95" spans="1:21" s="232" customFormat="1" ht="198" customHeight="1" x14ac:dyDescent="0.2">
      <c r="A95" s="22"/>
      <c r="B95" s="14" t="s">
        <v>213</v>
      </c>
      <c r="C95" s="227">
        <v>33</v>
      </c>
      <c r="D95" s="10" t="s">
        <v>24</v>
      </c>
      <c r="E95" s="200" t="s">
        <v>100</v>
      </c>
      <c r="F95" s="10" t="s">
        <v>222</v>
      </c>
      <c r="G95" s="200" t="s">
        <v>83</v>
      </c>
      <c r="H95" s="10" t="s">
        <v>28</v>
      </c>
      <c r="I95" s="210">
        <v>4000000</v>
      </c>
      <c r="J95" s="210">
        <v>4000000</v>
      </c>
      <c r="K95" s="494">
        <v>42065</v>
      </c>
      <c r="L95" s="499">
        <v>42431</v>
      </c>
      <c r="M95" s="505">
        <v>42432</v>
      </c>
      <c r="N95" s="22">
        <v>30</v>
      </c>
      <c r="O95" s="505">
        <v>42462</v>
      </c>
      <c r="P95" s="7" t="s">
        <v>541</v>
      </c>
      <c r="Q95" s="230" t="s">
        <v>552</v>
      </c>
      <c r="R95" s="221" t="s">
        <v>550</v>
      </c>
      <c r="S95" s="221" t="s">
        <v>334</v>
      </c>
      <c r="T95" s="9" t="s">
        <v>576</v>
      </c>
      <c r="U95" s="221" t="s">
        <v>575</v>
      </c>
    </row>
    <row r="96" spans="1:21" s="232" customFormat="1" ht="288.75" customHeight="1" x14ac:dyDescent="0.2">
      <c r="A96" s="22">
        <v>88</v>
      </c>
      <c r="B96" s="14" t="s">
        <v>154</v>
      </c>
      <c r="C96" s="227">
        <v>33</v>
      </c>
      <c r="D96" s="10" t="s">
        <v>24</v>
      </c>
      <c r="E96" s="200" t="s">
        <v>100</v>
      </c>
      <c r="F96" s="10" t="s">
        <v>222</v>
      </c>
      <c r="G96" s="200" t="s">
        <v>83</v>
      </c>
      <c r="H96" s="10" t="s">
        <v>28</v>
      </c>
      <c r="I96" s="210">
        <v>42000000</v>
      </c>
      <c r="J96" s="210">
        <v>42000000</v>
      </c>
      <c r="K96" s="494">
        <v>42408</v>
      </c>
      <c r="L96" s="499">
        <v>42418</v>
      </c>
      <c r="M96" s="499">
        <v>42422</v>
      </c>
      <c r="N96" s="248">
        <v>210</v>
      </c>
      <c r="O96" s="499">
        <v>42634</v>
      </c>
      <c r="P96" s="225" t="s">
        <v>523</v>
      </c>
      <c r="Q96" s="230" t="s">
        <v>525</v>
      </c>
      <c r="R96" s="11" t="s">
        <v>524</v>
      </c>
      <c r="S96" s="272" t="s">
        <v>285</v>
      </c>
      <c r="T96" s="9" t="s">
        <v>544</v>
      </c>
      <c r="U96" s="221" t="s">
        <v>340</v>
      </c>
    </row>
    <row r="97" spans="1:21" s="232" customFormat="1" ht="76.5" customHeight="1" x14ac:dyDescent="0.2">
      <c r="A97" s="22">
        <f t="shared" si="6"/>
        <v>89</v>
      </c>
      <c r="B97" s="14" t="s">
        <v>154</v>
      </c>
      <c r="C97" s="227">
        <v>33</v>
      </c>
      <c r="D97" s="10" t="s">
        <v>24</v>
      </c>
      <c r="E97" s="200" t="s">
        <v>100</v>
      </c>
      <c r="F97" s="10" t="s">
        <v>222</v>
      </c>
      <c r="G97" s="200" t="s">
        <v>83</v>
      </c>
      <c r="H97" s="10" t="s">
        <v>28</v>
      </c>
      <c r="I97" s="210">
        <v>22400000</v>
      </c>
      <c r="J97" s="210"/>
      <c r="K97" s="494">
        <v>42408</v>
      </c>
      <c r="L97" s="494">
        <v>42426</v>
      </c>
      <c r="M97" s="495">
        <f>L97+5</f>
        <v>42431</v>
      </c>
      <c r="N97" s="217">
        <v>210</v>
      </c>
      <c r="O97" s="495">
        <f t="shared" ref="O97" si="10">+M97+N97</f>
        <v>42641</v>
      </c>
      <c r="P97" s="225" t="s">
        <v>517</v>
      </c>
      <c r="Q97" s="230" t="s">
        <v>543</v>
      </c>
      <c r="R97" s="11" t="s">
        <v>256</v>
      </c>
      <c r="S97" s="272" t="s">
        <v>285</v>
      </c>
      <c r="T97" s="9" t="s">
        <v>542</v>
      </c>
      <c r="U97" s="221" t="s">
        <v>333</v>
      </c>
    </row>
    <row r="98" spans="1:21" s="232" customFormat="1" ht="169.5" customHeight="1" x14ac:dyDescent="0.2">
      <c r="A98" s="22">
        <f t="shared" si="6"/>
        <v>90</v>
      </c>
      <c r="B98" s="14" t="s">
        <v>154</v>
      </c>
      <c r="C98" s="227">
        <v>33</v>
      </c>
      <c r="D98" s="10" t="s">
        <v>24</v>
      </c>
      <c r="E98" s="200" t="s">
        <v>100</v>
      </c>
      <c r="F98" s="10" t="s">
        <v>222</v>
      </c>
      <c r="G98" s="200" t="s">
        <v>83</v>
      </c>
      <c r="H98" s="10" t="s">
        <v>28</v>
      </c>
      <c r="I98" s="210">
        <v>12600000</v>
      </c>
      <c r="J98" s="210">
        <v>12600000</v>
      </c>
      <c r="K98" s="494">
        <v>42408</v>
      </c>
      <c r="L98" s="499">
        <v>42417</v>
      </c>
      <c r="M98" s="499">
        <v>42418</v>
      </c>
      <c r="N98" s="248">
        <v>210</v>
      </c>
      <c r="O98" s="499">
        <v>42630</v>
      </c>
      <c r="P98" s="225" t="s">
        <v>517</v>
      </c>
      <c r="Q98" s="9" t="s">
        <v>518</v>
      </c>
      <c r="R98" s="11" t="s">
        <v>515</v>
      </c>
      <c r="S98" s="272" t="s">
        <v>285</v>
      </c>
      <c r="T98" s="9" t="s">
        <v>519</v>
      </c>
      <c r="U98" s="222" t="s">
        <v>340</v>
      </c>
    </row>
    <row r="99" spans="1:21" s="232" customFormat="1" ht="165.75" customHeight="1" x14ac:dyDescent="0.2">
      <c r="A99" s="22">
        <f t="shared" si="6"/>
        <v>91</v>
      </c>
      <c r="B99" s="14" t="s">
        <v>154</v>
      </c>
      <c r="C99" s="227">
        <v>33</v>
      </c>
      <c r="D99" s="10" t="s">
        <v>24</v>
      </c>
      <c r="E99" s="200" t="s">
        <v>100</v>
      </c>
      <c r="F99" s="10" t="s">
        <v>222</v>
      </c>
      <c r="G99" s="200" t="s">
        <v>83</v>
      </c>
      <c r="H99" s="10" t="s">
        <v>28</v>
      </c>
      <c r="I99" s="210">
        <v>12600000</v>
      </c>
      <c r="J99" s="210">
        <v>12600000</v>
      </c>
      <c r="K99" s="494">
        <v>42408</v>
      </c>
      <c r="L99" s="499">
        <v>42418</v>
      </c>
      <c r="M99" s="499">
        <v>42422</v>
      </c>
      <c r="N99" s="22">
        <v>210</v>
      </c>
      <c r="O99" s="499">
        <v>42634</v>
      </c>
      <c r="P99" s="225" t="s">
        <v>517</v>
      </c>
      <c r="Q99" s="9" t="s">
        <v>527</v>
      </c>
      <c r="R99" s="11" t="s">
        <v>515</v>
      </c>
      <c r="S99" s="272" t="s">
        <v>285</v>
      </c>
      <c r="T99" s="9" t="s">
        <v>526</v>
      </c>
      <c r="U99" s="222" t="s">
        <v>340</v>
      </c>
    </row>
    <row r="100" spans="1:21" s="232" customFormat="1" ht="165.75" x14ac:dyDescent="0.2">
      <c r="A100" s="22">
        <f t="shared" si="6"/>
        <v>92</v>
      </c>
      <c r="B100" s="14" t="s">
        <v>154</v>
      </c>
      <c r="C100" s="227">
        <v>33</v>
      </c>
      <c r="D100" s="10" t="s">
        <v>24</v>
      </c>
      <c r="E100" s="200" t="s">
        <v>100</v>
      </c>
      <c r="F100" s="10" t="s">
        <v>222</v>
      </c>
      <c r="G100" s="200" t="s">
        <v>83</v>
      </c>
      <c r="H100" s="10" t="s">
        <v>28</v>
      </c>
      <c r="I100" s="210">
        <v>12600000</v>
      </c>
      <c r="J100" s="210">
        <v>12600000</v>
      </c>
      <c r="K100" s="494">
        <v>42408</v>
      </c>
      <c r="L100" s="499">
        <v>42426</v>
      </c>
      <c r="M100" s="499">
        <v>42432</v>
      </c>
      <c r="N100" s="22">
        <v>210</v>
      </c>
      <c r="O100" s="499">
        <v>42645</v>
      </c>
      <c r="P100" s="225" t="s">
        <v>517</v>
      </c>
      <c r="Q100" s="9" t="s">
        <v>527</v>
      </c>
      <c r="R100" s="11" t="s">
        <v>515</v>
      </c>
      <c r="S100" s="272" t="s">
        <v>285</v>
      </c>
      <c r="T100" s="9" t="s">
        <v>538</v>
      </c>
      <c r="U100" s="222" t="s">
        <v>340</v>
      </c>
    </row>
    <row r="101" spans="1:21" s="232" customFormat="1" ht="165.75" x14ac:dyDescent="0.2">
      <c r="A101" s="22">
        <f t="shared" si="6"/>
        <v>93</v>
      </c>
      <c r="B101" s="14" t="s">
        <v>154</v>
      </c>
      <c r="C101" s="227">
        <v>33</v>
      </c>
      <c r="D101" s="10" t="s">
        <v>24</v>
      </c>
      <c r="E101" s="200" t="s">
        <v>100</v>
      </c>
      <c r="F101" s="10" t="s">
        <v>222</v>
      </c>
      <c r="G101" s="200" t="s">
        <v>83</v>
      </c>
      <c r="H101" s="10" t="s">
        <v>28</v>
      </c>
      <c r="I101" s="210">
        <v>12600000</v>
      </c>
      <c r="J101" s="210">
        <v>12600000</v>
      </c>
      <c r="K101" s="494">
        <v>42408</v>
      </c>
      <c r="L101" s="499">
        <v>42429</v>
      </c>
      <c r="M101" s="499">
        <v>42432</v>
      </c>
      <c r="N101" s="22">
        <v>210</v>
      </c>
      <c r="O101" s="499">
        <v>42645</v>
      </c>
      <c r="P101" s="225" t="s">
        <v>517</v>
      </c>
      <c r="Q101" s="9" t="s">
        <v>527</v>
      </c>
      <c r="R101" s="11" t="s">
        <v>515</v>
      </c>
      <c r="S101" s="272" t="s">
        <v>285</v>
      </c>
      <c r="T101" s="9" t="s">
        <v>539</v>
      </c>
      <c r="U101" s="222" t="s">
        <v>340</v>
      </c>
    </row>
    <row r="102" spans="1:21" s="232" customFormat="1" ht="54.75" customHeight="1" x14ac:dyDescent="0.2">
      <c r="A102" s="22">
        <f t="shared" si="6"/>
        <v>94</v>
      </c>
      <c r="B102" s="14" t="s">
        <v>154</v>
      </c>
      <c r="C102" s="227">
        <v>33</v>
      </c>
      <c r="D102" s="10" t="s">
        <v>24</v>
      </c>
      <c r="E102" s="200" t="s">
        <v>100</v>
      </c>
      <c r="F102" s="10" t="s">
        <v>222</v>
      </c>
      <c r="G102" s="200" t="s">
        <v>83</v>
      </c>
      <c r="H102" s="10" t="s">
        <v>28</v>
      </c>
      <c r="I102" s="210">
        <v>12600000</v>
      </c>
      <c r="J102" s="210"/>
      <c r="K102" s="494">
        <v>42408</v>
      </c>
      <c r="L102" s="499">
        <v>42429</v>
      </c>
      <c r="M102" s="499">
        <v>42432</v>
      </c>
      <c r="N102" s="22">
        <v>210</v>
      </c>
      <c r="O102" s="499">
        <v>42645</v>
      </c>
      <c r="P102" s="225" t="s">
        <v>517</v>
      </c>
      <c r="Q102" s="9" t="s">
        <v>527</v>
      </c>
      <c r="R102" s="11" t="s">
        <v>515</v>
      </c>
      <c r="S102" s="272" t="s">
        <v>285</v>
      </c>
      <c r="T102" s="9" t="s">
        <v>545</v>
      </c>
      <c r="U102" s="221" t="s">
        <v>665</v>
      </c>
    </row>
    <row r="103" spans="1:21" s="232" customFormat="1" ht="165.75" customHeight="1" x14ac:dyDescent="0.2">
      <c r="A103" s="22">
        <f t="shared" si="6"/>
        <v>95</v>
      </c>
      <c r="B103" s="14" t="s">
        <v>154</v>
      </c>
      <c r="C103" s="227">
        <v>33</v>
      </c>
      <c r="D103" s="10" t="s">
        <v>24</v>
      </c>
      <c r="E103" s="200" t="s">
        <v>100</v>
      </c>
      <c r="F103" s="10" t="s">
        <v>222</v>
      </c>
      <c r="G103" s="200" t="s">
        <v>83</v>
      </c>
      <c r="H103" s="10" t="s">
        <v>28</v>
      </c>
      <c r="I103" s="210">
        <v>10500000</v>
      </c>
      <c r="J103" s="210">
        <v>10500000</v>
      </c>
      <c r="K103" s="494">
        <v>42408</v>
      </c>
      <c r="L103" s="499">
        <v>42439</v>
      </c>
      <c r="M103" s="499">
        <v>42444</v>
      </c>
      <c r="N103" s="18">
        <v>210</v>
      </c>
      <c r="O103" s="499">
        <v>42657</v>
      </c>
      <c r="P103" s="225" t="s">
        <v>517</v>
      </c>
      <c r="Q103" s="9" t="s">
        <v>518</v>
      </c>
      <c r="R103" s="11" t="s">
        <v>515</v>
      </c>
      <c r="S103" s="272" t="s">
        <v>285</v>
      </c>
      <c r="T103" s="9" t="s">
        <v>597</v>
      </c>
      <c r="U103" s="221" t="s">
        <v>340</v>
      </c>
    </row>
    <row r="104" spans="1:21" s="232" customFormat="1" ht="165.75" customHeight="1" x14ac:dyDescent="0.2">
      <c r="A104" s="22">
        <f t="shared" si="6"/>
        <v>96</v>
      </c>
      <c r="B104" s="14" t="s">
        <v>154</v>
      </c>
      <c r="C104" s="227">
        <v>33</v>
      </c>
      <c r="D104" s="10" t="s">
        <v>24</v>
      </c>
      <c r="E104" s="200" t="s">
        <v>100</v>
      </c>
      <c r="F104" s="10" t="s">
        <v>222</v>
      </c>
      <c r="G104" s="200" t="s">
        <v>83</v>
      </c>
      <c r="H104" s="10" t="s">
        <v>28</v>
      </c>
      <c r="I104" s="210">
        <v>10500000</v>
      </c>
      <c r="J104" s="210">
        <v>10500000</v>
      </c>
      <c r="K104" s="494">
        <v>42408</v>
      </c>
      <c r="L104" s="499">
        <v>42417</v>
      </c>
      <c r="M104" s="499">
        <v>42419</v>
      </c>
      <c r="N104" s="248">
        <v>210</v>
      </c>
      <c r="O104" s="499">
        <v>42631</v>
      </c>
      <c r="P104" s="225" t="s">
        <v>517</v>
      </c>
      <c r="Q104" s="9" t="s">
        <v>518</v>
      </c>
      <c r="R104" s="11" t="s">
        <v>515</v>
      </c>
      <c r="S104" s="272" t="s">
        <v>285</v>
      </c>
      <c r="T104" s="9" t="s">
        <v>516</v>
      </c>
      <c r="U104" s="222" t="s">
        <v>340</v>
      </c>
    </row>
    <row r="105" spans="1:21" s="232" customFormat="1" ht="99.75" customHeight="1" x14ac:dyDescent="0.2">
      <c r="A105" s="22">
        <f t="shared" si="6"/>
        <v>97</v>
      </c>
      <c r="B105" s="15" t="s">
        <v>154</v>
      </c>
      <c r="C105" s="227">
        <v>312</v>
      </c>
      <c r="D105" s="10" t="s">
        <v>238</v>
      </c>
      <c r="E105" s="200">
        <v>312020501</v>
      </c>
      <c r="F105" s="10" t="s">
        <v>86</v>
      </c>
      <c r="G105" s="200" t="s">
        <v>79</v>
      </c>
      <c r="H105" s="10" t="s">
        <v>65</v>
      </c>
      <c r="I105" s="210">
        <v>5000000</v>
      </c>
      <c r="J105" s="210"/>
      <c r="K105" s="494">
        <v>42461</v>
      </c>
      <c r="L105" s="499">
        <v>42503</v>
      </c>
      <c r="M105" s="499">
        <f>L105+5</f>
        <v>42508</v>
      </c>
      <c r="N105" s="248">
        <v>30</v>
      </c>
      <c r="O105" s="499">
        <f>M105+N105</f>
        <v>42538</v>
      </c>
      <c r="P105" s="7" t="s">
        <v>66</v>
      </c>
      <c r="Q105" s="397" t="s">
        <v>677</v>
      </c>
      <c r="R105" s="397" t="s">
        <v>623</v>
      </c>
      <c r="S105" s="272" t="s">
        <v>285</v>
      </c>
      <c r="T105" s="9"/>
      <c r="U105" s="221"/>
    </row>
    <row r="106" spans="1:21" s="232" customFormat="1" ht="63" customHeight="1" x14ac:dyDescent="0.2">
      <c r="A106" s="22">
        <f t="shared" si="6"/>
        <v>98</v>
      </c>
      <c r="B106" s="14" t="s">
        <v>154</v>
      </c>
      <c r="C106" s="227">
        <v>33</v>
      </c>
      <c r="D106" s="10" t="s">
        <v>24</v>
      </c>
      <c r="E106" s="200" t="s">
        <v>100</v>
      </c>
      <c r="F106" s="10" t="s">
        <v>222</v>
      </c>
      <c r="G106" s="200" t="s">
        <v>27</v>
      </c>
      <c r="H106" s="200" t="s">
        <v>19</v>
      </c>
      <c r="I106" s="210">
        <f>100000000-22681700</f>
        <v>77318300</v>
      </c>
      <c r="J106" s="210"/>
      <c r="K106" s="494">
        <v>42509</v>
      </c>
      <c r="L106" s="494">
        <f>K106+60</f>
        <v>42569</v>
      </c>
      <c r="M106" s="495">
        <f>L106+5</f>
        <v>42574</v>
      </c>
      <c r="N106" s="217">
        <v>120</v>
      </c>
      <c r="O106" s="495">
        <f>M106+N106</f>
        <v>42694</v>
      </c>
      <c r="P106" s="229" t="s">
        <v>271</v>
      </c>
      <c r="Q106" s="9" t="s">
        <v>272</v>
      </c>
      <c r="R106" s="230" t="s">
        <v>624</v>
      </c>
      <c r="S106" s="272" t="s">
        <v>285</v>
      </c>
      <c r="T106" s="231"/>
      <c r="U106" s="231"/>
    </row>
    <row r="107" spans="1:21" s="232" customFormat="1" ht="60.75" customHeight="1" x14ac:dyDescent="0.2">
      <c r="A107" s="22">
        <f t="shared" si="6"/>
        <v>99</v>
      </c>
      <c r="B107" s="14" t="s">
        <v>154</v>
      </c>
      <c r="C107" s="227">
        <v>33</v>
      </c>
      <c r="D107" s="10" t="s">
        <v>24</v>
      </c>
      <c r="E107" s="200" t="s">
        <v>100</v>
      </c>
      <c r="F107" s="10" t="s">
        <v>222</v>
      </c>
      <c r="G107" s="200" t="s">
        <v>83</v>
      </c>
      <c r="H107" s="10" t="s">
        <v>28</v>
      </c>
      <c r="I107" s="210">
        <v>12181700</v>
      </c>
      <c r="J107" s="210"/>
      <c r="K107" s="494">
        <v>42509</v>
      </c>
      <c r="L107" s="494">
        <f>K107+30</f>
        <v>42539</v>
      </c>
      <c r="M107" s="495">
        <f t="shared" ref="M107" si="11">L107+5</f>
        <v>42544</v>
      </c>
      <c r="N107" s="217">
        <v>60</v>
      </c>
      <c r="O107" s="495">
        <f t="shared" ref="O107" si="12">+M107+N107</f>
        <v>42604</v>
      </c>
      <c r="P107" s="431" t="s">
        <v>273</v>
      </c>
      <c r="Q107" s="9" t="s">
        <v>625</v>
      </c>
      <c r="R107" s="230" t="s">
        <v>626</v>
      </c>
      <c r="S107" s="272" t="s">
        <v>285</v>
      </c>
      <c r="T107" s="231"/>
      <c r="U107" s="231"/>
    </row>
    <row r="108" spans="1:21" s="232" customFormat="1" ht="54.75" customHeight="1" x14ac:dyDescent="0.2">
      <c r="A108" s="22">
        <v>100</v>
      </c>
      <c r="B108" s="14" t="s">
        <v>154</v>
      </c>
      <c r="C108" s="227">
        <v>33</v>
      </c>
      <c r="D108" s="10" t="s">
        <v>24</v>
      </c>
      <c r="E108" s="200" t="s">
        <v>100</v>
      </c>
      <c r="F108" s="10" t="s">
        <v>222</v>
      </c>
      <c r="G108" s="200" t="s">
        <v>678</v>
      </c>
      <c r="H108" s="200" t="s">
        <v>678</v>
      </c>
      <c r="I108" s="210">
        <f>12600000-10500000</f>
        <v>2100000</v>
      </c>
      <c r="J108" s="228"/>
      <c r="K108" s="506" t="s">
        <v>678</v>
      </c>
      <c r="L108" s="506" t="s">
        <v>555</v>
      </c>
      <c r="M108" s="506" t="s">
        <v>555</v>
      </c>
      <c r="N108" s="200" t="s">
        <v>555</v>
      </c>
      <c r="O108" s="506" t="s">
        <v>555</v>
      </c>
      <c r="P108" s="200" t="s">
        <v>555</v>
      </c>
      <c r="Q108" s="9" t="s">
        <v>547</v>
      </c>
      <c r="R108" s="9" t="s">
        <v>547</v>
      </c>
      <c r="S108" s="272" t="s">
        <v>285</v>
      </c>
      <c r="T108" s="9" t="s">
        <v>547</v>
      </c>
      <c r="U108" s="9" t="s">
        <v>547</v>
      </c>
    </row>
    <row r="109" spans="1:21" s="19" customFormat="1" ht="257.25" customHeight="1" x14ac:dyDescent="0.2">
      <c r="A109" s="22">
        <v>101</v>
      </c>
      <c r="B109" s="14" t="s">
        <v>505</v>
      </c>
      <c r="C109" s="213" t="s">
        <v>152</v>
      </c>
      <c r="D109" s="24" t="s">
        <v>111</v>
      </c>
      <c r="E109" s="192">
        <v>311020301</v>
      </c>
      <c r="F109" s="193" t="s">
        <v>336</v>
      </c>
      <c r="G109" s="9" t="s">
        <v>83</v>
      </c>
      <c r="H109" s="9" t="s">
        <v>28</v>
      </c>
      <c r="I109" s="27">
        <v>40000000</v>
      </c>
      <c r="J109" s="27">
        <v>40000000</v>
      </c>
      <c r="K109" s="503">
        <v>42387</v>
      </c>
      <c r="L109" s="505">
        <v>42401</v>
      </c>
      <c r="M109" s="495">
        <v>42402</v>
      </c>
      <c r="N109" s="22">
        <v>150</v>
      </c>
      <c r="O109" s="495">
        <v>42552</v>
      </c>
      <c r="P109" s="197" t="s">
        <v>337</v>
      </c>
      <c r="Q109" s="26" t="s">
        <v>335</v>
      </c>
      <c r="R109" s="11" t="s">
        <v>338</v>
      </c>
      <c r="S109" s="221" t="s">
        <v>339</v>
      </c>
      <c r="T109" s="9" t="s">
        <v>369</v>
      </c>
      <c r="U109" s="221" t="s">
        <v>340</v>
      </c>
    </row>
    <row r="110" spans="1:21" s="19" customFormat="1" ht="197.25" customHeight="1" x14ac:dyDescent="0.2">
      <c r="A110" s="22">
        <f t="shared" si="6"/>
        <v>102</v>
      </c>
      <c r="B110" s="14" t="s">
        <v>370</v>
      </c>
      <c r="C110" s="213" t="s">
        <v>152</v>
      </c>
      <c r="D110" s="24" t="s">
        <v>111</v>
      </c>
      <c r="E110" s="192">
        <v>311020301</v>
      </c>
      <c r="F110" s="193" t="s">
        <v>336</v>
      </c>
      <c r="G110" s="9" t="s">
        <v>83</v>
      </c>
      <c r="H110" s="9" t="s">
        <v>28</v>
      </c>
      <c r="I110" s="223">
        <v>30000000</v>
      </c>
      <c r="J110" s="223">
        <v>30000000</v>
      </c>
      <c r="K110" s="504">
        <v>42397</v>
      </c>
      <c r="L110" s="499">
        <v>42402</v>
      </c>
      <c r="M110" s="499">
        <v>42405</v>
      </c>
      <c r="N110" s="199">
        <v>150</v>
      </c>
      <c r="O110" s="495">
        <v>42555</v>
      </c>
      <c r="P110" s="225" t="s">
        <v>342</v>
      </c>
      <c r="Q110" s="9" t="s">
        <v>343</v>
      </c>
      <c r="R110" s="11" t="s">
        <v>344</v>
      </c>
      <c r="S110" s="221" t="s">
        <v>341</v>
      </c>
      <c r="T110" s="9" t="s">
        <v>507</v>
      </c>
      <c r="U110" s="222" t="s">
        <v>340</v>
      </c>
    </row>
    <row r="111" spans="1:21" s="19" customFormat="1" ht="106.5" customHeight="1" x14ac:dyDescent="0.2">
      <c r="A111" s="22">
        <f t="shared" si="6"/>
        <v>103</v>
      </c>
      <c r="B111" s="14" t="s">
        <v>346</v>
      </c>
      <c r="C111" s="213" t="s">
        <v>152</v>
      </c>
      <c r="D111" s="24" t="s">
        <v>111</v>
      </c>
      <c r="E111" s="192">
        <v>311020301</v>
      </c>
      <c r="F111" s="193" t="s">
        <v>336</v>
      </c>
      <c r="G111" s="9" t="s">
        <v>83</v>
      </c>
      <c r="H111" s="9" t="s">
        <v>28</v>
      </c>
      <c r="I111" s="21">
        <v>32000000</v>
      </c>
      <c r="J111" s="21">
        <v>32000000</v>
      </c>
      <c r="K111" s="503">
        <v>42398</v>
      </c>
      <c r="L111" s="504">
        <v>42417</v>
      </c>
      <c r="M111" s="499">
        <v>42418</v>
      </c>
      <c r="N111" s="22">
        <v>120</v>
      </c>
      <c r="O111" s="499">
        <v>42538</v>
      </c>
      <c r="P111" s="479" t="s">
        <v>514</v>
      </c>
      <c r="Q111" s="26" t="s">
        <v>512</v>
      </c>
      <c r="R111" s="20" t="s">
        <v>347</v>
      </c>
      <c r="S111" s="221" t="s">
        <v>373</v>
      </c>
      <c r="T111" s="9" t="s">
        <v>513</v>
      </c>
      <c r="U111" s="221" t="s">
        <v>340</v>
      </c>
    </row>
    <row r="112" spans="1:21" ht="16.5" customHeight="1" x14ac:dyDescent="0.2">
      <c r="E112" s="141"/>
      <c r="F112" s="142"/>
      <c r="G112" s="143"/>
      <c r="H112" s="480"/>
      <c r="I112" s="477">
        <f>SUM(I7:I111)</f>
        <v>7009256234</v>
      </c>
      <c r="J112" s="477">
        <f>SUM(J7:J111)</f>
        <v>423855481</v>
      </c>
    </row>
    <row r="113" spans="5:9" x14ac:dyDescent="0.2">
      <c r="E113" s="141"/>
      <c r="F113" s="142"/>
      <c r="G113" s="141"/>
      <c r="H113" s="142"/>
      <c r="I113" s="141"/>
    </row>
  </sheetData>
  <autoFilter ref="A6:IC112"/>
  <mergeCells count="2">
    <mergeCell ref="C1:R4"/>
    <mergeCell ref="C5:R5"/>
  </mergeCells>
  <dataValidations disablePrompts="1" count="1">
    <dataValidation type="date" allowBlank="1" showInputMessage="1" showErrorMessage="1" sqref="M103:M105 M98:M99 M96 M42 M61:M62">
      <formula1>1</formula1>
      <formula2>402133</formula2>
    </dataValidation>
  </dataValidations>
  <printOptions horizontalCentered="1" verticalCentered="1"/>
  <pageMargins left="0.70866141732283472" right="0" top="0.19685039370078741" bottom="0.19685039370078741" header="0" footer="0"/>
  <pageSetup paperSize="5" scale="45" orientation="landscape" horizontalDpi="4294967295" verticalDpi="4294967295" r:id="rId1"/>
  <headerFooter alignWithMargins="0">
    <oddHeader>&amp;C&amp;P&amp;N</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
  <sheetViews>
    <sheetView topLeftCell="A3" zoomScale="90" zoomScaleNormal="90" workbookViewId="0">
      <pane ySplit="3" topLeftCell="A11" activePane="bottomLeft" state="frozen"/>
      <selection activeCell="A3" sqref="A3"/>
      <selection pane="bottomLeft" activeCell="A13" sqref="A13"/>
    </sheetView>
  </sheetViews>
  <sheetFormatPr baseColWidth="10" defaultRowHeight="12" x14ac:dyDescent="0.2"/>
  <cols>
    <col min="1" max="1" width="7.5703125" style="347" bestFit="1" customWidth="1"/>
    <col min="2" max="2" width="10.28515625" style="347" customWidth="1"/>
    <col min="3" max="3" width="11.42578125" style="348" customWidth="1"/>
    <col min="4" max="4" width="46.28515625" style="349" customWidth="1"/>
    <col min="5" max="5" width="18.28515625" style="349" customWidth="1"/>
    <col min="6" max="6" width="22.28515625" style="347" customWidth="1"/>
    <col min="7" max="7" width="19.5703125" style="347" customWidth="1"/>
    <col min="8" max="8" width="16.7109375" style="350" customWidth="1"/>
    <col min="9" max="9" width="12.85546875" style="351" customWidth="1"/>
    <col min="10" max="10" width="14.42578125" style="353" customWidth="1"/>
    <col min="11" max="11" width="7.85546875" style="356" customWidth="1"/>
    <col min="12" max="12" width="22.140625" style="356" customWidth="1"/>
    <col min="13" max="13" width="25.5703125" style="353" customWidth="1"/>
    <col min="14" max="14" width="18.7109375" style="353" customWidth="1"/>
    <col min="15" max="15" width="15.5703125" style="353" customWidth="1"/>
    <col min="16" max="16" width="19" style="353" customWidth="1"/>
    <col min="17" max="17" width="19.7109375" style="353" customWidth="1"/>
    <col min="18" max="18" width="10.85546875" style="353" bestFit="1" customWidth="1"/>
    <col min="19" max="19" width="13.7109375" style="352" bestFit="1" customWidth="1"/>
    <col min="20" max="20" width="15.5703125" style="354" bestFit="1" customWidth="1"/>
    <col min="21" max="21" width="19.140625" style="357" bestFit="1" customWidth="1"/>
    <col min="22" max="22" width="12.85546875" style="357" bestFit="1" customWidth="1"/>
    <col min="23" max="23" width="15.5703125" style="358" bestFit="1" customWidth="1"/>
    <col min="24" max="24" width="16.140625" style="350" customWidth="1"/>
    <col min="25" max="25" width="18.28515625" style="357" customWidth="1"/>
    <col min="26" max="26" width="19.7109375" style="357" customWidth="1"/>
    <col min="27" max="27" width="22.42578125" style="357" bestFit="1" customWidth="1"/>
    <col min="28" max="28" width="23.140625" style="357" customWidth="1"/>
    <col min="29" max="29" width="22.5703125" style="357" bestFit="1" customWidth="1"/>
    <col min="30" max="30" width="15.140625" style="357" customWidth="1"/>
    <col min="31" max="31" width="17" style="359" customWidth="1"/>
    <col min="32" max="33" width="15.28515625" style="360" customWidth="1"/>
    <col min="34" max="34" width="17" style="355" customWidth="1"/>
    <col min="35" max="35" width="12.140625" style="361" customWidth="1"/>
    <col min="36" max="36" width="11.28515625" style="362" customWidth="1"/>
    <col min="37" max="37" width="12.7109375" style="363" customWidth="1"/>
    <col min="38" max="38" width="15.28515625" style="364" customWidth="1"/>
    <col min="39" max="39" width="14.28515625" style="364" customWidth="1"/>
    <col min="40" max="40" width="15" style="365" customWidth="1"/>
    <col min="41" max="41" width="27.85546875" style="352" customWidth="1"/>
    <col min="42" max="16384" width="11.42578125" style="352"/>
  </cols>
  <sheetData>
    <row r="1" spans="1:42" s="279" customFormat="1" ht="21" customHeight="1" x14ac:dyDescent="0.2">
      <c r="B1" s="544" t="s">
        <v>385</v>
      </c>
      <c r="C1" s="545"/>
      <c r="D1" s="545"/>
      <c r="E1" s="545"/>
      <c r="F1" s="545"/>
      <c r="G1" s="545"/>
      <c r="H1" s="545"/>
      <c r="I1" s="545"/>
      <c r="J1" s="545"/>
      <c r="K1" s="545"/>
      <c r="L1" s="545"/>
      <c r="M1" s="545"/>
      <c r="N1" s="280"/>
      <c r="O1" s="280"/>
      <c r="P1" s="280"/>
      <c r="Q1" s="281"/>
      <c r="R1" s="281"/>
      <c r="S1" s="566"/>
      <c r="T1" s="578"/>
      <c r="U1" s="578"/>
      <c r="V1" s="578"/>
      <c r="W1" s="578"/>
      <c r="X1" s="578"/>
      <c r="Y1" s="578"/>
      <c r="Z1" s="578"/>
      <c r="AA1" s="578"/>
      <c r="AB1" s="578"/>
      <c r="AC1" s="578"/>
      <c r="AD1" s="578"/>
      <c r="AE1" s="282"/>
      <c r="AF1" s="283"/>
      <c r="AG1" s="283"/>
      <c r="AH1" s="283"/>
      <c r="AI1" s="284"/>
      <c r="AJ1" s="285"/>
      <c r="AK1" s="286"/>
      <c r="AL1" s="287"/>
      <c r="AM1" s="287"/>
      <c r="AN1" s="288"/>
    </row>
    <row r="2" spans="1:42" s="279" customFormat="1" ht="21" customHeight="1" x14ac:dyDescent="0.2">
      <c r="B2" s="546" t="s">
        <v>386</v>
      </c>
      <c r="C2" s="546"/>
      <c r="D2" s="546"/>
      <c r="E2" s="546"/>
      <c r="F2" s="546"/>
      <c r="G2" s="546"/>
      <c r="H2" s="546"/>
      <c r="I2" s="546"/>
      <c r="J2" s="546"/>
      <c r="K2" s="546"/>
      <c r="L2" s="546"/>
      <c r="M2" s="546"/>
      <c r="N2" s="289"/>
      <c r="O2" s="289"/>
      <c r="P2" s="289"/>
      <c r="Q2" s="290"/>
      <c r="R2" s="290"/>
      <c r="S2" s="579"/>
      <c r="T2" s="579"/>
      <c r="U2" s="579"/>
      <c r="V2" s="579"/>
      <c r="W2" s="579"/>
      <c r="X2" s="579"/>
      <c r="Y2" s="579"/>
      <c r="Z2" s="579"/>
      <c r="AA2" s="579"/>
      <c r="AB2" s="579"/>
      <c r="AC2" s="579"/>
      <c r="AD2" s="579"/>
      <c r="AE2" s="282"/>
      <c r="AF2" s="283"/>
      <c r="AG2" s="283"/>
      <c r="AH2" s="283"/>
      <c r="AI2" s="284"/>
      <c r="AJ2" s="285"/>
      <c r="AK2" s="286"/>
      <c r="AL2" s="287"/>
      <c r="AM2" s="287"/>
      <c r="AN2" s="288"/>
    </row>
    <row r="3" spans="1:42" s="279" customFormat="1" ht="21" customHeight="1" x14ac:dyDescent="0.2">
      <c r="A3" s="457" t="s">
        <v>666</v>
      </c>
      <c r="B3" s="544" t="s">
        <v>485</v>
      </c>
      <c r="C3" s="545"/>
      <c r="D3" s="545"/>
      <c r="E3" s="545"/>
      <c r="F3" s="545"/>
      <c r="G3" s="545"/>
      <c r="H3" s="580"/>
      <c r="I3" s="366"/>
      <c r="J3" s="367"/>
      <c r="K3" s="367"/>
      <c r="L3" s="367"/>
      <c r="M3" s="368"/>
      <c r="N3" s="289"/>
      <c r="O3" s="289"/>
      <c r="P3" s="289"/>
      <c r="Q3" s="290"/>
      <c r="R3" s="290"/>
      <c r="S3" s="566"/>
      <c r="T3" s="578"/>
      <c r="U3" s="578"/>
      <c r="V3" s="578"/>
      <c r="W3" s="578"/>
      <c r="X3" s="578"/>
      <c r="Y3" s="578"/>
      <c r="Z3" s="578"/>
      <c r="AA3" s="578"/>
      <c r="AB3" s="578"/>
      <c r="AC3" s="578"/>
      <c r="AD3" s="578"/>
      <c r="AE3" s="282"/>
      <c r="AF3" s="283"/>
      <c r="AG3" s="283"/>
      <c r="AH3" s="283"/>
      <c r="AI3" s="284"/>
      <c r="AJ3" s="285"/>
      <c r="AK3" s="286"/>
      <c r="AL3" s="287"/>
      <c r="AM3" s="287"/>
      <c r="AN3" s="288"/>
    </row>
    <row r="4" spans="1:42" s="295" customFormat="1" ht="60" customHeight="1" x14ac:dyDescent="0.2">
      <c r="A4" s="574" t="s">
        <v>387</v>
      </c>
      <c r="B4" s="574" t="s">
        <v>388</v>
      </c>
      <c r="C4" s="574" t="s">
        <v>389</v>
      </c>
      <c r="D4" s="573" t="s">
        <v>390</v>
      </c>
      <c r="E4" s="573" t="s">
        <v>391</v>
      </c>
      <c r="F4" s="573" t="s">
        <v>392</v>
      </c>
      <c r="G4" s="573" t="s">
        <v>393</v>
      </c>
      <c r="H4" s="576" t="s">
        <v>394</v>
      </c>
      <c r="I4" s="294"/>
      <c r="J4" s="557" t="s">
        <v>395</v>
      </c>
      <c r="K4" s="558"/>
      <c r="L4" s="559"/>
      <c r="M4" s="560" t="s">
        <v>396</v>
      </c>
      <c r="N4" s="561"/>
      <c r="O4" s="561"/>
      <c r="P4" s="562"/>
      <c r="Q4" s="563" t="s">
        <v>397</v>
      </c>
      <c r="R4" s="564" t="s">
        <v>398</v>
      </c>
      <c r="S4" s="566" t="s">
        <v>399</v>
      </c>
      <c r="T4" s="566"/>
      <c r="U4" s="566"/>
      <c r="V4" s="547" t="s">
        <v>400</v>
      </c>
      <c r="W4" s="547"/>
      <c r="X4" s="547"/>
      <c r="Y4" s="547"/>
      <c r="Z4" s="547"/>
      <c r="AA4" s="547"/>
      <c r="AB4" s="567" t="s">
        <v>401</v>
      </c>
      <c r="AC4" s="567" t="s">
        <v>402</v>
      </c>
      <c r="AD4" s="569" t="s">
        <v>403</v>
      </c>
      <c r="AE4" s="571" t="s">
        <v>404</v>
      </c>
      <c r="AF4" s="573" t="s">
        <v>405</v>
      </c>
      <c r="AG4" s="555" t="s">
        <v>406</v>
      </c>
      <c r="AH4" s="549" t="s">
        <v>407</v>
      </c>
      <c r="AI4" s="549" t="s">
        <v>408</v>
      </c>
      <c r="AJ4" s="553" t="s">
        <v>409</v>
      </c>
      <c r="AK4" s="549" t="s">
        <v>410</v>
      </c>
      <c r="AL4" s="551" t="s">
        <v>411</v>
      </c>
      <c r="AM4" s="547" t="s">
        <v>412</v>
      </c>
      <c r="AN4" s="548"/>
      <c r="AO4" s="549" t="s">
        <v>413</v>
      </c>
    </row>
    <row r="5" spans="1:42" s="295" customFormat="1" ht="24" x14ac:dyDescent="0.2">
      <c r="A5" s="575"/>
      <c r="B5" s="575"/>
      <c r="C5" s="575"/>
      <c r="D5" s="567"/>
      <c r="E5" s="567"/>
      <c r="F5" s="567"/>
      <c r="G5" s="567"/>
      <c r="H5" s="577"/>
      <c r="I5" s="296" t="s">
        <v>414</v>
      </c>
      <c r="J5" s="297" t="s">
        <v>415</v>
      </c>
      <c r="K5" s="298" t="s">
        <v>416</v>
      </c>
      <c r="L5" s="299" t="s">
        <v>417</v>
      </c>
      <c r="M5" s="299" t="s">
        <v>418</v>
      </c>
      <c r="N5" s="299" t="s">
        <v>419</v>
      </c>
      <c r="O5" s="299" t="s">
        <v>420</v>
      </c>
      <c r="P5" s="299" t="s">
        <v>421</v>
      </c>
      <c r="Q5" s="564"/>
      <c r="R5" s="565"/>
      <c r="S5" s="300" t="s">
        <v>422</v>
      </c>
      <c r="T5" s="301" t="s">
        <v>423</v>
      </c>
      <c r="U5" s="300" t="s">
        <v>424</v>
      </c>
      <c r="V5" s="291" t="s">
        <v>422</v>
      </c>
      <c r="W5" s="292" t="s">
        <v>423</v>
      </c>
      <c r="X5" s="293" t="s">
        <v>424</v>
      </c>
      <c r="Y5" s="302" t="s">
        <v>425</v>
      </c>
      <c r="Z5" s="302" t="s">
        <v>426</v>
      </c>
      <c r="AA5" s="302" t="s">
        <v>427</v>
      </c>
      <c r="AB5" s="568"/>
      <c r="AC5" s="568"/>
      <c r="AD5" s="570"/>
      <c r="AE5" s="572"/>
      <c r="AF5" s="567"/>
      <c r="AG5" s="556" t="s">
        <v>406</v>
      </c>
      <c r="AH5" s="550"/>
      <c r="AI5" s="550"/>
      <c r="AJ5" s="554"/>
      <c r="AK5" s="550"/>
      <c r="AL5" s="552"/>
      <c r="AM5" s="291" t="s">
        <v>417</v>
      </c>
      <c r="AN5" s="293" t="s">
        <v>415</v>
      </c>
      <c r="AO5" s="550"/>
    </row>
    <row r="6" spans="1:42" s="327" customFormat="1" ht="137.25" customHeight="1" x14ac:dyDescent="0.2">
      <c r="A6" s="303" t="s">
        <v>428</v>
      </c>
      <c r="B6" s="304" t="s">
        <v>429</v>
      </c>
      <c r="C6" s="305" t="s">
        <v>430</v>
      </c>
      <c r="D6" s="221" t="s">
        <v>431</v>
      </c>
      <c r="E6" s="306" t="s">
        <v>27</v>
      </c>
      <c r="F6" s="307" t="s">
        <v>432</v>
      </c>
      <c r="G6" s="308" t="s">
        <v>433</v>
      </c>
      <c r="H6" s="309">
        <v>700000</v>
      </c>
      <c r="I6" s="308" t="s">
        <v>433</v>
      </c>
      <c r="J6" s="310">
        <v>900378239</v>
      </c>
      <c r="K6" s="311">
        <v>0</v>
      </c>
      <c r="L6" s="312" t="s">
        <v>434</v>
      </c>
      <c r="M6" s="313" t="s">
        <v>435</v>
      </c>
      <c r="N6" s="314" t="s">
        <v>436</v>
      </c>
      <c r="O6" s="315">
        <v>0</v>
      </c>
      <c r="P6" s="316" t="s">
        <v>437</v>
      </c>
      <c r="Q6" s="317" t="s">
        <v>438</v>
      </c>
      <c r="R6" s="311">
        <v>1</v>
      </c>
      <c r="S6" s="311">
        <v>6</v>
      </c>
      <c r="T6" s="318">
        <v>42382</v>
      </c>
      <c r="U6" s="319">
        <v>51190440</v>
      </c>
      <c r="V6" s="311">
        <v>7</v>
      </c>
      <c r="W6" s="318">
        <v>42387</v>
      </c>
      <c r="X6" s="309">
        <v>700000</v>
      </c>
      <c r="Y6" s="320">
        <v>3120101</v>
      </c>
      <c r="Z6" s="321" t="s">
        <v>235</v>
      </c>
      <c r="AA6" s="322" t="s">
        <v>439</v>
      </c>
      <c r="AB6" s="323" t="s">
        <v>440</v>
      </c>
      <c r="AC6" s="324" t="s">
        <v>441</v>
      </c>
      <c r="AD6" s="325">
        <v>42384</v>
      </c>
      <c r="AE6" s="194" t="s">
        <v>442</v>
      </c>
      <c r="AF6" s="194">
        <v>42394</v>
      </c>
      <c r="AG6" s="194">
        <v>42394</v>
      </c>
      <c r="AH6" s="196" t="s">
        <v>443</v>
      </c>
      <c r="AI6" s="196" t="s">
        <v>443</v>
      </c>
      <c r="AJ6" s="22" t="s">
        <v>443</v>
      </c>
      <c r="AK6" s="196" t="s">
        <v>443</v>
      </c>
      <c r="AL6" s="234" t="s">
        <v>444</v>
      </c>
      <c r="AM6" s="9" t="s">
        <v>445</v>
      </c>
      <c r="AN6" s="326" t="s">
        <v>446</v>
      </c>
      <c r="AO6" s="234" t="s">
        <v>92</v>
      </c>
    </row>
    <row r="7" spans="1:42" s="337" customFormat="1" ht="107.25" customHeight="1" x14ac:dyDescent="0.2">
      <c r="A7" s="303" t="s">
        <v>428</v>
      </c>
      <c r="B7" s="305" t="s">
        <v>447</v>
      </c>
      <c r="C7" s="26" t="s">
        <v>448</v>
      </c>
      <c r="D7" s="306" t="s">
        <v>449</v>
      </c>
      <c r="E7" s="9" t="s">
        <v>83</v>
      </c>
      <c r="F7" s="9" t="s">
        <v>450</v>
      </c>
      <c r="G7" s="225" t="s">
        <v>451</v>
      </c>
      <c r="H7" s="328">
        <v>6000000</v>
      </c>
      <c r="I7" s="225" t="s">
        <v>452</v>
      </c>
      <c r="J7" s="329">
        <v>1015437290</v>
      </c>
      <c r="K7" s="330">
        <v>1</v>
      </c>
      <c r="L7" s="225" t="s">
        <v>453</v>
      </c>
      <c r="M7" s="18" t="s">
        <v>454</v>
      </c>
      <c r="N7" s="331" t="s">
        <v>455</v>
      </c>
      <c r="O7" s="324" t="s">
        <v>456</v>
      </c>
      <c r="P7" s="332" t="s">
        <v>457</v>
      </c>
      <c r="Q7" s="7" t="s">
        <v>458</v>
      </c>
      <c r="R7" s="330">
        <v>1</v>
      </c>
      <c r="S7" s="330">
        <v>14</v>
      </c>
      <c r="T7" s="333">
        <v>42388</v>
      </c>
      <c r="U7" s="334">
        <v>6000000</v>
      </c>
      <c r="V7" s="330">
        <v>14</v>
      </c>
      <c r="W7" s="333">
        <v>42024</v>
      </c>
      <c r="X7" s="328">
        <v>6000000</v>
      </c>
      <c r="Y7" s="335">
        <v>3110204</v>
      </c>
      <c r="Z7" s="321" t="s">
        <v>459</v>
      </c>
      <c r="AA7" s="214" t="s">
        <v>439</v>
      </c>
      <c r="AB7" s="200" t="s">
        <v>440</v>
      </c>
      <c r="AC7" s="324" t="s">
        <v>441</v>
      </c>
      <c r="AD7" s="325">
        <v>42389</v>
      </c>
      <c r="AE7" s="194" t="s">
        <v>460</v>
      </c>
      <c r="AF7" s="194">
        <v>42394</v>
      </c>
      <c r="AG7" s="196">
        <v>42394</v>
      </c>
      <c r="AH7" s="196" t="s">
        <v>439</v>
      </c>
      <c r="AI7" s="196">
        <v>42390</v>
      </c>
      <c r="AJ7" s="22">
        <v>120</v>
      </c>
      <c r="AK7" s="196">
        <v>42510</v>
      </c>
      <c r="AL7" s="9" t="s">
        <v>461</v>
      </c>
      <c r="AM7" s="200" t="s">
        <v>359</v>
      </c>
      <c r="AN7" s="210">
        <v>19259343</v>
      </c>
      <c r="AO7" s="336" t="s">
        <v>145</v>
      </c>
    </row>
    <row r="8" spans="1:42" s="337" customFormat="1" ht="110.25" customHeight="1" x14ac:dyDescent="0.2">
      <c r="A8" s="303" t="s">
        <v>428</v>
      </c>
      <c r="B8" s="304" t="s">
        <v>462</v>
      </c>
      <c r="C8" s="26" t="s">
        <v>463</v>
      </c>
      <c r="D8" s="9" t="s">
        <v>464</v>
      </c>
      <c r="E8" s="9" t="s">
        <v>83</v>
      </c>
      <c r="F8" s="9" t="s">
        <v>450</v>
      </c>
      <c r="G8" s="225" t="s">
        <v>451</v>
      </c>
      <c r="H8" s="328">
        <v>24000000</v>
      </c>
      <c r="I8" s="225" t="s">
        <v>452</v>
      </c>
      <c r="J8" s="338">
        <v>19242360</v>
      </c>
      <c r="K8" s="330">
        <v>4</v>
      </c>
      <c r="L8" s="225" t="s">
        <v>465</v>
      </c>
      <c r="M8" s="18" t="s">
        <v>466</v>
      </c>
      <c r="N8" s="331" t="s">
        <v>467</v>
      </c>
      <c r="O8" s="324" t="s">
        <v>468</v>
      </c>
      <c r="P8" s="332" t="s">
        <v>457</v>
      </c>
      <c r="Q8" s="225" t="s">
        <v>469</v>
      </c>
      <c r="R8" s="330">
        <v>1</v>
      </c>
      <c r="S8" s="330">
        <v>21</v>
      </c>
      <c r="T8" s="333">
        <v>42389</v>
      </c>
      <c r="U8" s="334">
        <v>24000000</v>
      </c>
      <c r="V8" s="330">
        <v>15</v>
      </c>
      <c r="W8" s="333">
        <v>42390</v>
      </c>
      <c r="X8" s="328">
        <v>24000000</v>
      </c>
      <c r="Y8" s="253">
        <v>311020301</v>
      </c>
      <c r="Z8" s="478" t="s">
        <v>82</v>
      </c>
      <c r="AA8" s="214" t="s">
        <v>439</v>
      </c>
      <c r="AB8" s="200" t="s">
        <v>440</v>
      </c>
      <c r="AC8" s="324" t="s">
        <v>441</v>
      </c>
      <c r="AD8" s="325">
        <v>42390</v>
      </c>
      <c r="AE8" s="194" t="s">
        <v>470</v>
      </c>
      <c r="AF8" s="194">
        <v>42390</v>
      </c>
      <c r="AG8" s="196" t="s">
        <v>471</v>
      </c>
      <c r="AH8" s="196" t="s">
        <v>439</v>
      </c>
      <c r="AI8" s="196">
        <v>42391</v>
      </c>
      <c r="AJ8" s="22">
        <v>120</v>
      </c>
      <c r="AK8" s="196">
        <v>42511</v>
      </c>
      <c r="AL8" s="234" t="s">
        <v>472</v>
      </c>
      <c r="AM8" s="234" t="s">
        <v>473</v>
      </c>
      <c r="AN8" s="210">
        <v>80124255</v>
      </c>
      <c r="AO8" s="234" t="s">
        <v>474</v>
      </c>
    </row>
    <row r="9" spans="1:42" s="327" customFormat="1" ht="114.75" x14ac:dyDescent="0.2">
      <c r="A9" s="303" t="s">
        <v>428</v>
      </c>
      <c r="B9" s="304" t="s">
        <v>475</v>
      </c>
      <c r="C9" s="339" t="s">
        <v>476</v>
      </c>
      <c r="D9" s="221" t="s">
        <v>477</v>
      </c>
      <c r="E9" s="9" t="s">
        <v>83</v>
      </c>
      <c r="F9" s="9" t="s">
        <v>450</v>
      </c>
      <c r="G9" s="225" t="s">
        <v>451</v>
      </c>
      <c r="H9" s="328">
        <v>7560000</v>
      </c>
      <c r="I9" s="225" t="s">
        <v>452</v>
      </c>
      <c r="J9" s="338">
        <v>79874768</v>
      </c>
      <c r="K9" s="330">
        <v>5</v>
      </c>
      <c r="L9" s="225" t="s">
        <v>478</v>
      </c>
      <c r="M9" s="214" t="s">
        <v>479</v>
      </c>
      <c r="N9" s="331" t="s">
        <v>480</v>
      </c>
      <c r="O9" s="324" t="s">
        <v>481</v>
      </c>
      <c r="P9" s="332" t="s">
        <v>457</v>
      </c>
      <c r="Q9" s="7" t="s">
        <v>482</v>
      </c>
      <c r="R9" s="330">
        <v>1</v>
      </c>
      <c r="S9" s="330">
        <v>13</v>
      </c>
      <c r="T9" s="333">
        <v>42023</v>
      </c>
      <c r="U9" s="328">
        <v>7560000</v>
      </c>
      <c r="V9" s="330">
        <v>16</v>
      </c>
      <c r="W9" s="333">
        <v>42391</v>
      </c>
      <c r="X9" s="328">
        <v>7560000</v>
      </c>
      <c r="Y9" s="340" t="s">
        <v>483</v>
      </c>
      <c r="Z9" s="321" t="s">
        <v>233</v>
      </c>
      <c r="AA9" s="341" t="s">
        <v>439</v>
      </c>
      <c r="AB9" s="200" t="s">
        <v>440</v>
      </c>
      <c r="AC9" s="324" t="s">
        <v>441</v>
      </c>
      <c r="AD9" s="325">
        <v>42391</v>
      </c>
      <c r="AE9" s="194" t="s">
        <v>484</v>
      </c>
      <c r="AF9" s="194">
        <v>42394</v>
      </c>
      <c r="AG9" s="196">
        <v>42394</v>
      </c>
      <c r="AH9" s="196" t="s">
        <v>443</v>
      </c>
      <c r="AI9" s="196">
        <v>42395</v>
      </c>
      <c r="AJ9" s="22">
        <v>120</v>
      </c>
      <c r="AK9" s="196">
        <v>42515</v>
      </c>
      <c r="AL9" s="9" t="s">
        <v>461</v>
      </c>
      <c r="AM9" s="200" t="s">
        <v>359</v>
      </c>
      <c r="AN9" s="210">
        <v>19259343</v>
      </c>
      <c r="AO9" s="336" t="s">
        <v>145</v>
      </c>
    </row>
    <row r="10" spans="1:42" s="327" customFormat="1" ht="165.75" x14ac:dyDescent="0.2">
      <c r="A10" s="304" t="s">
        <v>551</v>
      </c>
      <c r="B10" s="304" t="s">
        <v>494</v>
      </c>
      <c r="C10" s="26" t="s">
        <v>495</v>
      </c>
      <c r="D10" s="9" t="s">
        <v>496</v>
      </c>
      <c r="E10" s="9" t="s">
        <v>107</v>
      </c>
      <c r="F10" s="221" t="s">
        <v>497</v>
      </c>
      <c r="G10" s="225" t="s">
        <v>451</v>
      </c>
      <c r="H10" s="27">
        <v>307605681</v>
      </c>
      <c r="I10" s="225" t="s">
        <v>452</v>
      </c>
      <c r="J10" s="335">
        <v>860050247</v>
      </c>
      <c r="K10" s="330">
        <v>6</v>
      </c>
      <c r="L10" s="225" t="s">
        <v>498</v>
      </c>
      <c r="M10" s="221" t="s">
        <v>499</v>
      </c>
      <c r="N10" s="342">
        <v>6730177</v>
      </c>
      <c r="O10" s="324">
        <v>0</v>
      </c>
      <c r="P10" s="324" t="s">
        <v>500</v>
      </c>
      <c r="Q10" s="197" t="s">
        <v>501</v>
      </c>
      <c r="R10" s="330">
        <v>1</v>
      </c>
      <c r="S10" s="330">
        <v>57</v>
      </c>
      <c r="T10" s="333">
        <v>42412</v>
      </c>
      <c r="U10" s="373">
        <v>307785788</v>
      </c>
      <c r="V10" s="330">
        <v>62</v>
      </c>
      <c r="W10" s="333">
        <v>42419</v>
      </c>
      <c r="X10" s="334">
        <v>307605681</v>
      </c>
      <c r="Y10" s="335">
        <v>312020501</v>
      </c>
      <c r="Z10" s="374" t="s">
        <v>162</v>
      </c>
      <c r="AA10" s="341" t="s">
        <v>309</v>
      </c>
      <c r="AB10" s="200" t="s">
        <v>440</v>
      </c>
      <c r="AC10" s="324" t="s">
        <v>441</v>
      </c>
      <c r="AD10" s="325">
        <v>42418</v>
      </c>
      <c r="AE10" s="375" t="s">
        <v>502</v>
      </c>
      <c r="AF10" s="194">
        <v>42422</v>
      </c>
      <c r="AG10" s="194">
        <v>42423</v>
      </c>
      <c r="AH10" s="194" t="s">
        <v>439</v>
      </c>
      <c r="AI10" s="194">
        <v>42461</v>
      </c>
      <c r="AJ10" s="22">
        <v>132</v>
      </c>
      <c r="AK10" s="194">
        <v>42563</v>
      </c>
      <c r="AL10" s="376" t="s">
        <v>503</v>
      </c>
      <c r="AM10" s="9" t="s">
        <v>504</v>
      </c>
      <c r="AN10" s="210">
        <v>19447276</v>
      </c>
      <c r="AO10" s="234" t="s">
        <v>154</v>
      </c>
    </row>
    <row r="11" spans="1:42" s="327" customFormat="1" ht="114.75" x14ac:dyDescent="0.2">
      <c r="A11" s="304" t="s">
        <v>577</v>
      </c>
      <c r="B11" s="304" t="s">
        <v>578</v>
      </c>
      <c r="C11" s="396" t="s">
        <v>579</v>
      </c>
      <c r="D11" s="10" t="s">
        <v>580</v>
      </c>
      <c r="E11" s="9" t="s">
        <v>83</v>
      </c>
      <c r="F11" s="9" t="s">
        <v>450</v>
      </c>
      <c r="G11" s="397" t="s">
        <v>451</v>
      </c>
      <c r="H11" s="328">
        <v>4000000</v>
      </c>
      <c r="I11" s="225" t="s">
        <v>452</v>
      </c>
      <c r="J11" s="335">
        <v>33377345</v>
      </c>
      <c r="K11" s="398">
        <v>4</v>
      </c>
      <c r="L11" s="399" t="s">
        <v>581</v>
      </c>
      <c r="M11" s="400" t="s">
        <v>582</v>
      </c>
      <c r="N11" s="342" t="s">
        <v>583</v>
      </c>
      <c r="O11" s="377" t="s">
        <v>584</v>
      </c>
      <c r="P11" s="200" t="s">
        <v>585</v>
      </c>
      <c r="Q11" s="7" t="s">
        <v>541</v>
      </c>
      <c r="R11" s="330">
        <v>1</v>
      </c>
      <c r="S11" s="305">
        <v>117</v>
      </c>
      <c r="T11" s="401">
        <v>42431</v>
      </c>
      <c r="U11" s="328">
        <v>4000000</v>
      </c>
      <c r="V11" s="305">
        <v>75</v>
      </c>
      <c r="W11" s="401">
        <v>42431</v>
      </c>
      <c r="X11" s="328">
        <v>4000000</v>
      </c>
      <c r="Y11" s="335" t="s">
        <v>100</v>
      </c>
      <c r="Z11" s="402" t="s">
        <v>222</v>
      </c>
      <c r="AA11" s="403">
        <v>776</v>
      </c>
      <c r="AB11" s="404" t="s">
        <v>586</v>
      </c>
      <c r="AC11" s="324" t="s">
        <v>441</v>
      </c>
      <c r="AD11" s="194">
        <v>42431</v>
      </c>
      <c r="AE11" s="402" t="s">
        <v>587</v>
      </c>
      <c r="AF11" s="196">
        <v>42439</v>
      </c>
      <c r="AG11" s="196">
        <v>42439</v>
      </c>
      <c r="AH11" s="194" t="s">
        <v>439</v>
      </c>
      <c r="AI11" s="198">
        <v>42432</v>
      </c>
      <c r="AJ11" s="22">
        <v>30</v>
      </c>
      <c r="AK11" s="198">
        <v>42462</v>
      </c>
      <c r="AL11" s="376" t="s">
        <v>503</v>
      </c>
      <c r="AM11" s="9" t="s">
        <v>504</v>
      </c>
      <c r="AN11" s="210">
        <v>19447276</v>
      </c>
      <c r="AO11" s="234" t="s">
        <v>154</v>
      </c>
    </row>
    <row r="12" spans="1:42" s="327" customFormat="1" ht="140.25" x14ac:dyDescent="0.2">
      <c r="A12" s="304" t="s">
        <v>577</v>
      </c>
      <c r="B12" s="304" t="s">
        <v>588</v>
      </c>
      <c r="C12" s="26" t="s">
        <v>589</v>
      </c>
      <c r="D12" s="9" t="s">
        <v>590</v>
      </c>
      <c r="E12" s="9" t="s">
        <v>83</v>
      </c>
      <c r="F12" s="9" t="s">
        <v>450</v>
      </c>
      <c r="G12" s="225" t="s">
        <v>451</v>
      </c>
      <c r="H12" s="328">
        <v>11160000</v>
      </c>
      <c r="I12" s="225" t="s">
        <v>452</v>
      </c>
      <c r="J12" s="335">
        <v>79741840</v>
      </c>
      <c r="K12" s="330">
        <v>7</v>
      </c>
      <c r="L12" s="225" t="s">
        <v>591</v>
      </c>
      <c r="M12" s="221" t="s">
        <v>592</v>
      </c>
      <c r="N12" s="342" t="s">
        <v>593</v>
      </c>
      <c r="O12" s="324" t="s">
        <v>594</v>
      </c>
      <c r="P12" s="324" t="s">
        <v>457</v>
      </c>
      <c r="Q12" s="7" t="s">
        <v>482</v>
      </c>
      <c r="R12" s="330">
        <v>1</v>
      </c>
      <c r="S12" s="330">
        <v>116</v>
      </c>
      <c r="T12" s="333">
        <v>42431</v>
      </c>
      <c r="U12" s="334">
        <v>11160000</v>
      </c>
      <c r="V12" s="330">
        <v>80</v>
      </c>
      <c r="W12" s="333">
        <v>42433</v>
      </c>
      <c r="X12" s="334">
        <v>11160000</v>
      </c>
      <c r="Y12" s="340" t="s">
        <v>483</v>
      </c>
      <c r="Z12" s="402" t="s">
        <v>233</v>
      </c>
      <c r="AA12" s="341" t="s">
        <v>439</v>
      </c>
      <c r="AB12" s="200" t="s">
        <v>440</v>
      </c>
      <c r="AC12" s="324" t="s">
        <v>441</v>
      </c>
      <c r="AD12" s="325">
        <v>42432</v>
      </c>
      <c r="AE12" s="375" t="s">
        <v>595</v>
      </c>
      <c r="AF12" s="194"/>
      <c r="AG12" s="194"/>
      <c r="AH12" s="405"/>
      <c r="AI12" s="405">
        <v>42118</v>
      </c>
      <c r="AJ12" s="22">
        <v>180</v>
      </c>
      <c r="AK12" s="196">
        <v>42300</v>
      </c>
      <c r="AL12" s="9" t="s">
        <v>461</v>
      </c>
      <c r="AM12" s="200" t="s">
        <v>359</v>
      </c>
      <c r="AN12" s="210">
        <v>19259343</v>
      </c>
      <c r="AO12" s="9" t="s">
        <v>461</v>
      </c>
    </row>
    <row r="13" spans="1:42" s="337" customFormat="1" ht="181.5" customHeight="1" x14ac:dyDescent="0.2">
      <c r="A13" s="304" t="s">
        <v>577</v>
      </c>
      <c r="B13" s="305" t="s">
        <v>634</v>
      </c>
      <c r="C13" s="305" t="s">
        <v>635</v>
      </c>
      <c r="D13" s="9" t="s">
        <v>636</v>
      </c>
      <c r="E13" s="9" t="s">
        <v>637</v>
      </c>
      <c r="F13" s="397" t="s">
        <v>432</v>
      </c>
      <c r="G13" s="225" t="s">
        <v>638</v>
      </c>
      <c r="H13" s="328">
        <v>1931400</v>
      </c>
      <c r="I13" s="225" t="s">
        <v>638</v>
      </c>
      <c r="J13" s="192">
        <v>900917626</v>
      </c>
      <c r="K13" s="330">
        <v>1</v>
      </c>
      <c r="L13" s="225" t="s">
        <v>639</v>
      </c>
      <c r="M13" s="221" t="s">
        <v>640</v>
      </c>
      <c r="N13" s="239">
        <v>5712565899</v>
      </c>
      <c r="O13" s="324"/>
      <c r="P13" s="441" t="s">
        <v>641</v>
      </c>
      <c r="Q13" s="442" t="s">
        <v>642</v>
      </c>
      <c r="R13" s="330">
        <v>1</v>
      </c>
      <c r="S13" s="330">
        <v>123</v>
      </c>
      <c r="T13" s="443">
        <v>42436</v>
      </c>
      <c r="U13" s="334">
        <v>1931400</v>
      </c>
      <c r="V13" s="214">
        <v>81</v>
      </c>
      <c r="W13" s="194">
        <v>42436</v>
      </c>
      <c r="X13" s="334">
        <v>1931400</v>
      </c>
      <c r="Y13" s="335" t="s">
        <v>100</v>
      </c>
      <c r="Z13" s="402" t="s">
        <v>222</v>
      </c>
      <c r="AA13" s="403">
        <v>776</v>
      </c>
      <c r="AB13" s="404" t="s">
        <v>586</v>
      </c>
      <c r="AC13" s="324" t="s">
        <v>441</v>
      </c>
      <c r="AD13" s="194">
        <v>42436</v>
      </c>
      <c r="AE13" s="194" t="s">
        <v>643</v>
      </c>
      <c r="AF13" s="194" t="s">
        <v>471</v>
      </c>
      <c r="AG13" s="194" t="s">
        <v>471</v>
      </c>
      <c r="AH13" s="194" t="s">
        <v>439</v>
      </c>
      <c r="AI13" s="194">
        <v>42437</v>
      </c>
      <c r="AJ13" s="22">
        <v>30</v>
      </c>
      <c r="AK13" s="196">
        <v>42467</v>
      </c>
      <c r="AL13" s="234" t="s">
        <v>644</v>
      </c>
      <c r="AM13" s="200" t="s">
        <v>377</v>
      </c>
      <c r="AN13" s="210">
        <v>51950018</v>
      </c>
      <c r="AO13" s="336" t="s">
        <v>99</v>
      </c>
      <c r="AP13" s="444"/>
    </row>
    <row r="14" spans="1:42" s="337" customFormat="1" ht="25.5" x14ac:dyDescent="0.2">
      <c r="A14" s="304"/>
      <c r="B14" s="305"/>
      <c r="C14" s="305"/>
      <c r="D14" s="26"/>
      <c r="E14" s="9"/>
      <c r="F14" s="369"/>
      <c r="G14" s="370" t="s">
        <v>632</v>
      </c>
      <c r="H14" s="371">
        <f>SUM(H6:H13)</f>
        <v>362957081</v>
      </c>
      <c r="I14" s="225"/>
      <c r="J14" s="335"/>
      <c r="K14" s="343"/>
      <c r="L14" s="344"/>
      <c r="M14" s="221"/>
      <c r="N14" s="342"/>
      <c r="O14" s="345"/>
      <c r="P14" s="332"/>
      <c r="Q14" s="225"/>
      <c r="R14" s="330"/>
      <c r="S14" s="18"/>
      <c r="T14" s="346"/>
      <c r="U14" s="334"/>
      <c r="V14" s="18"/>
      <c r="W14" s="346"/>
      <c r="X14" s="346"/>
      <c r="Y14" s="192"/>
      <c r="Z14" s="193"/>
      <c r="AA14" s="341"/>
      <c r="AB14" s="200"/>
      <c r="AC14" s="324"/>
      <c r="AD14" s="194"/>
      <c r="AE14" s="9"/>
      <c r="AF14" s="195"/>
      <c r="AG14" s="195"/>
      <c r="AH14" s="195"/>
      <c r="AI14" s="195"/>
      <c r="AJ14" s="22"/>
      <c r="AK14" s="196"/>
      <c r="AL14" s="234"/>
      <c r="AM14" s="234"/>
      <c r="AN14" s="326"/>
      <c r="AO14" s="234"/>
    </row>
  </sheetData>
  <autoFilter ref="A5:AP14"/>
  <mergeCells count="33">
    <mergeCell ref="F4:F5"/>
    <mergeCell ref="G4:G5"/>
    <mergeCell ref="H4:H5"/>
    <mergeCell ref="S1:AD1"/>
    <mergeCell ref="S2:AD2"/>
    <mergeCell ref="B3:H3"/>
    <mergeCell ref="S3:AD3"/>
    <mergeCell ref="A4:A5"/>
    <mergeCell ref="B4:B5"/>
    <mergeCell ref="C4:C5"/>
    <mergeCell ref="D4:D5"/>
    <mergeCell ref="E4:E5"/>
    <mergeCell ref="AB4:AB5"/>
    <mergeCell ref="AC4:AC5"/>
    <mergeCell ref="AD4:AD5"/>
    <mergeCell ref="AE4:AE5"/>
    <mergeCell ref="AF4:AF5"/>
    <mergeCell ref="B1:M1"/>
    <mergeCell ref="B2:M2"/>
    <mergeCell ref="AM4:AN4"/>
    <mergeCell ref="AO4:AO5"/>
    <mergeCell ref="AL4:AL5"/>
    <mergeCell ref="AH4:AH5"/>
    <mergeCell ref="AI4:AI5"/>
    <mergeCell ref="AJ4:AJ5"/>
    <mergeCell ref="AK4:AK5"/>
    <mergeCell ref="AG4:AG5"/>
    <mergeCell ref="J4:L4"/>
    <mergeCell ref="M4:P4"/>
    <mergeCell ref="Q4:Q5"/>
    <mergeCell ref="R4:R5"/>
    <mergeCell ref="S4:U4"/>
    <mergeCell ref="V4:AA4"/>
  </mergeCells>
  <dataValidations count="1">
    <dataValidation type="date" allowBlank="1" showInputMessage="1" showErrorMessage="1" sqref="AH12:AI12">
      <formula1>1</formula1>
      <formula2>402133</formula2>
    </dataValidation>
  </dataValidations>
  <hyperlinks>
    <hyperlink ref="O1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pane xSplit="1" ySplit="4" topLeftCell="B54" activePane="bottomRight" state="frozen"/>
      <selection pane="topRight" activeCell="B1" sqref="B1"/>
      <selection pane="bottomLeft" activeCell="A5" sqref="A5"/>
      <selection pane="bottomRight" activeCell="C63" sqref="C63"/>
    </sheetView>
  </sheetViews>
  <sheetFormatPr baseColWidth="10" defaultRowHeight="14.25" x14ac:dyDescent="0.2"/>
  <cols>
    <col min="1" max="1" width="21.140625" style="190" customWidth="1"/>
    <col min="2" max="2" width="50.140625" style="190" customWidth="1"/>
    <col min="3" max="3" width="16.140625" style="190" customWidth="1"/>
    <col min="4" max="4" width="14.85546875" customWidth="1"/>
    <col min="5" max="5" width="13" customWidth="1"/>
    <col min="6" max="6" width="14.7109375" customWidth="1"/>
    <col min="7" max="7" width="15" customWidth="1"/>
    <col min="8" max="8" width="27" customWidth="1"/>
  </cols>
  <sheetData>
    <row r="1" spans="1:8" ht="15" x14ac:dyDescent="0.25">
      <c r="A1" s="599" t="s">
        <v>355</v>
      </c>
      <c r="B1" s="600"/>
      <c r="C1" s="600"/>
      <c r="D1" s="600"/>
      <c r="E1" s="600"/>
      <c r="F1" s="600"/>
      <c r="G1" s="600"/>
      <c r="H1" s="600"/>
    </row>
    <row r="2" spans="1:8" ht="15" x14ac:dyDescent="0.25">
      <c r="A2" s="145" t="s">
        <v>629</v>
      </c>
      <c r="B2" s="146"/>
      <c r="C2" s="146"/>
      <c r="D2" s="146"/>
      <c r="E2" s="146"/>
      <c r="F2" s="146"/>
      <c r="G2" s="146"/>
      <c r="H2" s="146"/>
    </row>
    <row r="3" spans="1:8" ht="12.75" customHeight="1" x14ac:dyDescent="0.2">
      <c r="A3" s="601" t="s">
        <v>299</v>
      </c>
      <c r="B3" s="602"/>
      <c r="C3" s="602"/>
      <c r="D3" s="602"/>
      <c r="E3" s="602"/>
      <c r="F3" s="602"/>
      <c r="G3" s="602"/>
      <c r="H3" s="602"/>
    </row>
    <row r="4" spans="1:8" ht="33.75" x14ac:dyDescent="0.2">
      <c r="A4" s="147" t="s">
        <v>300</v>
      </c>
      <c r="B4" s="147" t="s">
        <v>301</v>
      </c>
      <c r="C4" s="147" t="s">
        <v>302</v>
      </c>
      <c r="D4" s="147" t="s">
        <v>303</v>
      </c>
      <c r="E4" s="147" t="s">
        <v>304</v>
      </c>
      <c r="F4" s="147" t="s">
        <v>305</v>
      </c>
      <c r="G4" s="147" t="s">
        <v>306</v>
      </c>
      <c r="H4" s="147" t="s">
        <v>307</v>
      </c>
    </row>
    <row r="5" spans="1:8" ht="75.75" customHeight="1" x14ac:dyDescent="0.2">
      <c r="A5" s="603" t="s">
        <v>308</v>
      </c>
      <c r="B5" s="234" t="s">
        <v>630</v>
      </c>
      <c r="C5" s="27">
        <v>150000000</v>
      </c>
      <c r="D5" s="148"/>
      <c r="E5" s="149"/>
      <c r="F5" s="150">
        <f t="shared" ref="F5:F12" si="0">C5-D5</f>
        <v>150000000</v>
      </c>
      <c r="G5" s="5">
        <v>42459</v>
      </c>
      <c r="H5" s="208" t="s">
        <v>685</v>
      </c>
    </row>
    <row r="6" spans="1:8" ht="41.25" customHeight="1" x14ac:dyDescent="0.2">
      <c r="A6" s="604"/>
      <c r="B6" s="10" t="s">
        <v>263</v>
      </c>
      <c r="C6" s="27">
        <v>400000000</v>
      </c>
      <c r="D6" s="152"/>
      <c r="E6" s="152"/>
      <c r="F6" s="150">
        <f t="shared" si="0"/>
        <v>400000000</v>
      </c>
      <c r="G6" s="5">
        <v>42475</v>
      </c>
      <c r="H6" s="20" t="s">
        <v>715</v>
      </c>
    </row>
    <row r="7" spans="1:8" ht="51" x14ac:dyDescent="0.2">
      <c r="A7" s="604"/>
      <c r="B7" s="10" t="s">
        <v>264</v>
      </c>
      <c r="C7" s="27">
        <v>198000000</v>
      </c>
      <c r="D7" s="152"/>
      <c r="E7" s="152"/>
      <c r="F7" s="150">
        <f t="shared" si="0"/>
        <v>198000000</v>
      </c>
      <c r="G7" s="5">
        <v>42444</v>
      </c>
      <c r="H7" s="20" t="s">
        <v>715</v>
      </c>
    </row>
    <row r="8" spans="1:8" ht="25.5" x14ac:dyDescent="0.2">
      <c r="A8" s="604"/>
      <c r="B8" s="10" t="s">
        <v>290</v>
      </c>
      <c r="C8" s="27">
        <v>120000000</v>
      </c>
      <c r="D8" s="152"/>
      <c r="E8" s="152"/>
      <c r="F8" s="150">
        <f t="shared" si="0"/>
        <v>120000000</v>
      </c>
      <c r="G8" s="5">
        <v>42468</v>
      </c>
      <c r="H8" s="20" t="s">
        <v>715</v>
      </c>
    </row>
    <row r="9" spans="1:8" ht="38.25" x14ac:dyDescent="0.2">
      <c r="A9" s="604"/>
      <c r="B9" s="10" t="s">
        <v>548</v>
      </c>
      <c r="C9" s="27">
        <v>100000000</v>
      </c>
      <c r="D9" s="152"/>
      <c r="E9" s="152"/>
      <c r="F9" s="150">
        <f t="shared" si="0"/>
        <v>100000000</v>
      </c>
      <c r="G9" s="5">
        <v>42495</v>
      </c>
      <c r="H9" s="20" t="s">
        <v>715</v>
      </c>
    </row>
    <row r="10" spans="1:8" ht="38.25" x14ac:dyDescent="0.2">
      <c r="A10" s="604"/>
      <c r="B10" s="10" t="s">
        <v>265</v>
      </c>
      <c r="C10" s="27">
        <v>342000000</v>
      </c>
      <c r="D10" s="151"/>
      <c r="E10" s="149"/>
      <c r="F10" s="150">
        <f t="shared" si="0"/>
        <v>342000000</v>
      </c>
      <c r="G10" s="5">
        <v>42465</v>
      </c>
      <c r="H10" s="20" t="s">
        <v>715</v>
      </c>
    </row>
    <row r="11" spans="1:8" ht="25.5" x14ac:dyDescent="0.2">
      <c r="A11" s="604"/>
      <c r="B11" s="10" t="s">
        <v>266</v>
      </c>
      <c r="C11" s="27">
        <f>50800000-1931400</f>
        <v>48868600</v>
      </c>
      <c r="D11" s="153"/>
      <c r="E11" s="149"/>
      <c r="F11" s="150">
        <f t="shared" si="0"/>
        <v>48868600</v>
      </c>
      <c r="G11" s="5">
        <v>42556</v>
      </c>
      <c r="H11" s="20" t="s">
        <v>715</v>
      </c>
    </row>
    <row r="12" spans="1:8" ht="54" customHeight="1" x14ac:dyDescent="0.2">
      <c r="A12" s="604"/>
      <c r="B12" s="9" t="s">
        <v>647</v>
      </c>
      <c r="C12" s="27">
        <v>1931400</v>
      </c>
      <c r="D12" s="27">
        <v>1931400</v>
      </c>
      <c r="E12" s="149"/>
      <c r="F12" s="150">
        <f t="shared" si="0"/>
        <v>0</v>
      </c>
      <c r="G12" s="5">
        <v>42436</v>
      </c>
      <c r="H12" s="20" t="s">
        <v>667</v>
      </c>
    </row>
    <row r="13" spans="1:8" ht="18.75" customHeight="1" x14ac:dyDescent="0.2">
      <c r="A13" s="605"/>
      <c r="B13" s="154" t="s">
        <v>310</v>
      </c>
      <c r="C13" s="155">
        <f>SUM(C5:C12)</f>
        <v>1360800000</v>
      </c>
      <c r="D13" s="156">
        <f>SUM(D5:D12)</f>
        <v>1931400</v>
      </c>
      <c r="E13" s="158">
        <f t="shared" ref="E13:E21" si="1">D13/C13*100</f>
        <v>0.14193121693121694</v>
      </c>
      <c r="F13" s="156">
        <f>C13-D13</f>
        <v>1358868600</v>
      </c>
      <c r="G13" s="158"/>
      <c r="H13" s="159">
        <f>D13/C13</f>
        <v>1.4193121693121694E-3</v>
      </c>
    </row>
    <row r="14" spans="1:8" ht="33.75" x14ac:dyDescent="0.2">
      <c r="A14" s="147" t="s">
        <v>300</v>
      </c>
      <c r="B14" s="147" t="s">
        <v>301</v>
      </c>
      <c r="C14" s="147" t="s">
        <v>302</v>
      </c>
      <c r="D14" s="147" t="s">
        <v>303</v>
      </c>
      <c r="E14" s="147" t="s">
        <v>304</v>
      </c>
      <c r="F14" s="147" t="s">
        <v>305</v>
      </c>
      <c r="G14" s="147" t="s">
        <v>306</v>
      </c>
      <c r="H14" s="147" t="s">
        <v>307</v>
      </c>
    </row>
    <row r="15" spans="1:8" s="161" customFormat="1" ht="102" x14ac:dyDescent="0.2">
      <c r="A15" s="603" t="s">
        <v>311</v>
      </c>
      <c r="B15" s="218" t="s">
        <v>709</v>
      </c>
      <c r="C15" s="210">
        <v>28000000</v>
      </c>
      <c r="D15" s="160"/>
      <c r="E15" s="162"/>
      <c r="F15" s="242">
        <f t="shared" ref="F15:F20" si="2">C15-D15</f>
        <v>28000000</v>
      </c>
      <c r="G15" s="28">
        <v>42359</v>
      </c>
      <c r="H15" s="276" t="s">
        <v>693</v>
      </c>
    </row>
    <row r="16" spans="1:8" s="161" customFormat="1" ht="102" x14ac:dyDescent="0.2">
      <c r="A16" s="604"/>
      <c r="B16" s="218" t="s">
        <v>710</v>
      </c>
      <c r="C16" s="210">
        <v>312000000</v>
      </c>
      <c r="D16" s="160"/>
      <c r="E16" s="162"/>
      <c r="F16" s="242">
        <f t="shared" si="2"/>
        <v>312000000</v>
      </c>
      <c r="G16" s="28">
        <v>42521</v>
      </c>
      <c r="H16" s="20" t="s">
        <v>715</v>
      </c>
    </row>
    <row r="17" spans="1:8" s="161" customFormat="1" ht="47.25" customHeight="1" x14ac:dyDescent="0.2">
      <c r="A17" s="604"/>
      <c r="B17" s="218" t="s">
        <v>711</v>
      </c>
      <c r="C17" s="210">
        <v>100000000</v>
      </c>
      <c r="D17" s="160"/>
      <c r="E17" s="162"/>
      <c r="F17" s="242">
        <f t="shared" si="2"/>
        <v>100000000</v>
      </c>
      <c r="G17" s="28">
        <v>42479</v>
      </c>
      <c r="H17" s="20" t="s">
        <v>715</v>
      </c>
    </row>
    <row r="18" spans="1:8" s="161" customFormat="1" ht="59.25" customHeight="1" x14ac:dyDescent="0.2">
      <c r="A18" s="604"/>
      <c r="B18" s="218" t="s">
        <v>712</v>
      </c>
      <c r="C18" s="210">
        <v>43000000</v>
      </c>
      <c r="D18" s="160"/>
      <c r="E18" s="162"/>
      <c r="F18" s="242">
        <f t="shared" si="2"/>
        <v>43000000</v>
      </c>
      <c r="G18" s="28">
        <v>42527</v>
      </c>
      <c r="H18" s="20" t="s">
        <v>715</v>
      </c>
    </row>
    <row r="19" spans="1:8" s="161" customFormat="1" ht="89.25" x14ac:dyDescent="0.2">
      <c r="A19" s="604"/>
      <c r="B19" s="218" t="s">
        <v>713</v>
      </c>
      <c r="C19" s="210">
        <v>260000000</v>
      </c>
      <c r="D19" s="162"/>
      <c r="E19" s="162"/>
      <c r="F19" s="242">
        <f t="shared" si="2"/>
        <v>260000000</v>
      </c>
      <c r="G19" s="28">
        <v>42563</v>
      </c>
      <c r="H19" s="20" t="s">
        <v>715</v>
      </c>
    </row>
    <row r="20" spans="1:8" s="161" customFormat="1" ht="63.75" x14ac:dyDescent="0.2">
      <c r="A20" s="604"/>
      <c r="B20" s="218" t="s">
        <v>714</v>
      </c>
      <c r="C20" s="210">
        <v>22200000</v>
      </c>
      <c r="D20" s="163"/>
      <c r="E20" s="162"/>
      <c r="F20" s="242">
        <f t="shared" si="2"/>
        <v>22200000</v>
      </c>
      <c r="G20" s="28">
        <v>42563</v>
      </c>
      <c r="H20" s="20" t="s">
        <v>715</v>
      </c>
    </row>
    <row r="21" spans="1:8" ht="12.75" x14ac:dyDescent="0.2">
      <c r="A21" s="605"/>
      <c r="B21" s="154" t="s">
        <v>312</v>
      </c>
      <c r="C21" s="155">
        <f>SUM(C15:C20)</f>
        <v>765200000</v>
      </c>
      <c r="D21" s="156">
        <f>SUM(D15:D20)</f>
        <v>0</v>
      </c>
      <c r="E21" s="158">
        <f t="shared" si="1"/>
        <v>0</v>
      </c>
      <c r="F21" s="158">
        <f t="shared" ref="F21" si="3">C21-D21</f>
        <v>765200000</v>
      </c>
      <c r="G21" s="158"/>
      <c r="H21" s="245">
        <f>D21/C21</f>
        <v>0</v>
      </c>
    </row>
    <row r="22" spans="1:8" ht="36" x14ac:dyDescent="0.2">
      <c r="A22" s="147" t="s">
        <v>300</v>
      </c>
      <c r="B22" s="164" t="s">
        <v>301</v>
      </c>
      <c r="C22" s="164" t="s">
        <v>302</v>
      </c>
      <c r="D22" s="164" t="s">
        <v>313</v>
      </c>
      <c r="E22" s="165" t="s">
        <v>304</v>
      </c>
      <c r="F22" s="164" t="s">
        <v>305</v>
      </c>
      <c r="G22" s="164" t="s">
        <v>306</v>
      </c>
      <c r="H22" s="164" t="s">
        <v>307</v>
      </c>
    </row>
    <row r="23" spans="1:8" ht="47.25" customHeight="1" x14ac:dyDescent="0.2">
      <c r="A23" s="603" t="s">
        <v>314</v>
      </c>
      <c r="B23" s="208" t="s">
        <v>348</v>
      </c>
      <c r="C23" s="380">
        <v>5200000</v>
      </c>
      <c r="D23" s="166"/>
      <c r="E23" s="149"/>
      <c r="F23" s="379">
        <f t="shared" ref="F23:F30" si="4">C23-D23</f>
        <v>5200000</v>
      </c>
      <c r="G23" s="224">
        <v>42625</v>
      </c>
      <c r="H23" s="20" t="s">
        <v>715</v>
      </c>
    </row>
    <row r="24" spans="1:8" ht="51" x14ac:dyDescent="0.2">
      <c r="A24" s="604"/>
      <c r="B24" s="208" t="s">
        <v>349</v>
      </c>
      <c r="C24" s="380">
        <v>3000000</v>
      </c>
      <c r="D24" s="166"/>
      <c r="E24" s="149"/>
      <c r="F24" s="379">
        <f t="shared" si="4"/>
        <v>3000000</v>
      </c>
      <c r="G24" s="224">
        <v>42646</v>
      </c>
      <c r="H24" s="20" t="s">
        <v>715</v>
      </c>
    </row>
    <row r="25" spans="1:8" ht="85.5" customHeight="1" x14ac:dyDescent="0.2">
      <c r="A25" s="604"/>
      <c r="B25" s="208" t="s">
        <v>549</v>
      </c>
      <c r="C25" s="380">
        <v>5000000</v>
      </c>
      <c r="D25" s="166"/>
      <c r="E25" s="149"/>
      <c r="F25" s="379">
        <f t="shared" si="4"/>
        <v>5000000</v>
      </c>
      <c r="G25" s="224">
        <v>42489</v>
      </c>
      <c r="H25" s="20" t="s">
        <v>715</v>
      </c>
    </row>
    <row r="26" spans="1:8" ht="63.75" x14ac:dyDescent="0.2">
      <c r="A26" s="604"/>
      <c r="B26" s="208" t="s">
        <v>350</v>
      </c>
      <c r="C26" s="380">
        <v>11000000</v>
      </c>
      <c r="D26" s="167"/>
      <c r="E26" s="149"/>
      <c r="F26" s="379">
        <f t="shared" si="4"/>
        <v>11000000</v>
      </c>
      <c r="G26" s="224">
        <v>42489</v>
      </c>
      <c r="H26" s="20" t="s">
        <v>715</v>
      </c>
    </row>
    <row r="27" spans="1:8" ht="76.5" x14ac:dyDescent="0.2">
      <c r="A27" s="604"/>
      <c r="B27" s="10" t="s">
        <v>602</v>
      </c>
      <c r="C27" s="254">
        <f>576164*4</f>
        <v>2304656</v>
      </c>
      <c r="D27" s="167"/>
      <c r="E27" s="149"/>
      <c r="F27" s="379">
        <f t="shared" si="4"/>
        <v>2304656</v>
      </c>
      <c r="G27" s="224">
        <v>42459</v>
      </c>
      <c r="H27" s="20" t="s">
        <v>715</v>
      </c>
    </row>
    <row r="28" spans="1:8" ht="39.75" customHeight="1" x14ac:dyDescent="0.2">
      <c r="A28" s="604"/>
      <c r="B28" s="10" t="s">
        <v>351</v>
      </c>
      <c r="C28" s="254">
        <f>7800000-2304656</f>
        <v>5495344</v>
      </c>
      <c r="D28" s="166"/>
      <c r="E28" s="149"/>
      <c r="F28" s="379">
        <f t="shared" si="4"/>
        <v>5495344</v>
      </c>
      <c r="G28" s="220">
        <v>42585</v>
      </c>
      <c r="H28" s="20" t="s">
        <v>715</v>
      </c>
    </row>
    <row r="29" spans="1:8" ht="77.25" customHeight="1" x14ac:dyDescent="0.2">
      <c r="A29" s="604"/>
      <c r="B29" s="208" t="s">
        <v>356</v>
      </c>
      <c r="C29" s="204">
        <v>3000000</v>
      </c>
      <c r="D29" s="167"/>
      <c r="E29" s="149"/>
      <c r="F29" s="379">
        <f t="shared" si="4"/>
        <v>3000000</v>
      </c>
      <c r="G29" s="220">
        <v>42052</v>
      </c>
      <c r="H29" s="9" t="s">
        <v>694</v>
      </c>
    </row>
    <row r="30" spans="1:8" ht="89.25" x14ac:dyDescent="0.2">
      <c r="A30" s="604"/>
      <c r="B30" s="208" t="s">
        <v>352</v>
      </c>
      <c r="C30" s="380">
        <v>4200000</v>
      </c>
      <c r="D30" s="166"/>
      <c r="E30" s="149"/>
      <c r="F30" s="379">
        <f t="shared" si="4"/>
        <v>4200000</v>
      </c>
      <c r="G30" s="224">
        <v>42592</v>
      </c>
      <c r="H30" s="20" t="s">
        <v>715</v>
      </c>
    </row>
    <row r="31" spans="1:8" ht="51" x14ac:dyDescent="0.2">
      <c r="A31" s="604"/>
      <c r="B31" s="20" t="s">
        <v>353</v>
      </c>
      <c r="C31" s="204">
        <v>3000000</v>
      </c>
      <c r="D31" s="166"/>
      <c r="E31" s="149"/>
      <c r="F31" s="379">
        <f t="shared" ref="F31:F32" si="5">C31-D31</f>
        <v>3000000</v>
      </c>
      <c r="G31" s="220">
        <v>42653</v>
      </c>
      <c r="H31" s="20" t="s">
        <v>715</v>
      </c>
    </row>
    <row r="32" spans="1:8" ht="127.5" x14ac:dyDescent="0.2">
      <c r="A32" s="604"/>
      <c r="B32" s="230" t="s">
        <v>552</v>
      </c>
      <c r="C32" s="210">
        <v>4000000</v>
      </c>
      <c r="D32" s="166">
        <v>4000000</v>
      </c>
      <c r="E32" s="149"/>
      <c r="F32" s="379">
        <f t="shared" si="5"/>
        <v>0</v>
      </c>
      <c r="G32" s="244">
        <v>42065</v>
      </c>
      <c r="H32" s="9" t="s">
        <v>695</v>
      </c>
    </row>
    <row r="33" spans="1:8" ht="12.75" x14ac:dyDescent="0.2">
      <c r="A33" s="605"/>
      <c r="B33" s="154" t="s">
        <v>315</v>
      </c>
      <c r="C33" s="156">
        <f>SUM(C23:C32)</f>
        <v>46200000</v>
      </c>
      <c r="D33" s="156">
        <f>SUM(D23:D32)</f>
        <v>4000000</v>
      </c>
      <c r="E33" s="159">
        <f>D33/C33</f>
        <v>8.6580086580086577E-2</v>
      </c>
      <c r="F33" s="158">
        <f>C33-D33</f>
        <v>42200000</v>
      </c>
      <c r="G33" s="156"/>
      <c r="H33" s="159">
        <f>D33/C33</f>
        <v>8.6580086580086577E-2</v>
      </c>
    </row>
    <row r="34" spans="1:8" ht="36" x14ac:dyDescent="0.2">
      <c r="A34" s="147" t="s">
        <v>300</v>
      </c>
      <c r="B34" s="164" t="s">
        <v>301</v>
      </c>
      <c r="C34" s="164" t="s">
        <v>302</v>
      </c>
      <c r="D34" s="164" t="s">
        <v>313</v>
      </c>
      <c r="E34" s="165" t="s">
        <v>304</v>
      </c>
      <c r="F34" s="164" t="s">
        <v>305</v>
      </c>
      <c r="G34" s="164" t="s">
        <v>306</v>
      </c>
      <c r="H34" s="164" t="s">
        <v>307</v>
      </c>
    </row>
    <row r="35" spans="1:8" ht="56.25" customHeight="1" x14ac:dyDescent="0.2">
      <c r="A35" s="597" t="s">
        <v>316</v>
      </c>
      <c r="B35" s="381" t="s">
        <v>317</v>
      </c>
      <c r="C35" s="382" t="s">
        <v>318</v>
      </c>
      <c r="D35" s="383"/>
      <c r="E35" s="149"/>
      <c r="F35" s="383"/>
      <c r="G35" s="383"/>
      <c r="H35" s="382" t="s">
        <v>318</v>
      </c>
    </row>
    <row r="36" spans="1:8" ht="12.75" x14ac:dyDescent="0.2">
      <c r="A36" s="598"/>
      <c r="B36" s="154" t="s">
        <v>319</v>
      </c>
      <c r="C36" s="155">
        <f>SUM(C35)</f>
        <v>0</v>
      </c>
      <c r="D36" s="158" t="s">
        <v>309</v>
      </c>
      <c r="E36" s="159"/>
      <c r="F36" s="158" t="s">
        <v>309</v>
      </c>
      <c r="G36" s="158" t="s">
        <v>309</v>
      </c>
      <c r="H36" s="158" t="s">
        <v>309</v>
      </c>
    </row>
    <row r="37" spans="1:8" ht="36" x14ac:dyDescent="0.2">
      <c r="A37" s="147" t="s">
        <v>300</v>
      </c>
      <c r="B37" s="164" t="s">
        <v>301</v>
      </c>
      <c r="C37" s="164" t="s">
        <v>302</v>
      </c>
      <c r="D37" s="164" t="s">
        <v>313</v>
      </c>
      <c r="E37" s="165" t="s">
        <v>304</v>
      </c>
      <c r="F37" s="164" t="s">
        <v>305</v>
      </c>
      <c r="G37" s="164" t="s">
        <v>306</v>
      </c>
      <c r="H37" s="164" t="s">
        <v>307</v>
      </c>
    </row>
    <row r="38" spans="1:8" ht="171" customHeight="1" x14ac:dyDescent="0.2">
      <c r="A38" s="587" t="s">
        <v>320</v>
      </c>
      <c r="B38" s="230" t="s">
        <v>567</v>
      </c>
      <c r="C38" s="210">
        <v>42000000</v>
      </c>
      <c r="D38" s="210">
        <v>42000000</v>
      </c>
      <c r="E38" s="149"/>
      <c r="F38" s="150">
        <f t="shared" ref="F38:F47" si="6">C38-D38</f>
        <v>0</v>
      </c>
      <c r="G38" s="244">
        <v>42408</v>
      </c>
      <c r="H38" s="9" t="s">
        <v>696</v>
      </c>
    </row>
    <row r="39" spans="1:8" ht="56.25" customHeight="1" x14ac:dyDescent="0.2">
      <c r="A39" s="588"/>
      <c r="B39" s="230" t="s">
        <v>354</v>
      </c>
      <c r="C39" s="210">
        <v>22400000</v>
      </c>
      <c r="D39" s="210"/>
      <c r="E39" s="149"/>
      <c r="F39" s="150">
        <f t="shared" si="6"/>
        <v>22400000</v>
      </c>
      <c r="G39" s="244">
        <v>42408</v>
      </c>
      <c r="H39" s="9" t="s">
        <v>697</v>
      </c>
    </row>
    <row r="40" spans="1:8" ht="114.75" x14ac:dyDescent="0.2">
      <c r="A40" s="588"/>
      <c r="B40" s="9" t="s">
        <v>553</v>
      </c>
      <c r="C40" s="210">
        <v>12600000</v>
      </c>
      <c r="D40" s="210">
        <v>12600000</v>
      </c>
      <c r="E40" s="149"/>
      <c r="F40" s="150">
        <f t="shared" si="6"/>
        <v>0</v>
      </c>
      <c r="G40" s="244">
        <v>42408</v>
      </c>
      <c r="H40" s="9" t="s">
        <v>698</v>
      </c>
    </row>
    <row r="41" spans="1:8" ht="114.75" x14ac:dyDescent="0.2">
      <c r="A41" s="588"/>
      <c r="B41" s="9" t="s">
        <v>554</v>
      </c>
      <c r="C41" s="210">
        <v>12600000</v>
      </c>
      <c r="D41" s="210">
        <v>12600000</v>
      </c>
      <c r="E41" s="149"/>
      <c r="F41" s="150">
        <f t="shared" si="6"/>
        <v>0</v>
      </c>
      <c r="G41" s="244">
        <v>42408</v>
      </c>
      <c r="H41" s="9" t="s">
        <v>699</v>
      </c>
    </row>
    <row r="42" spans="1:8" ht="114.75" x14ac:dyDescent="0.2">
      <c r="A42" s="588"/>
      <c r="B42" s="9" t="s">
        <v>554</v>
      </c>
      <c r="C42" s="210">
        <v>12600000</v>
      </c>
      <c r="D42" s="210">
        <v>12600000</v>
      </c>
      <c r="E42" s="149"/>
      <c r="F42" s="150">
        <f t="shared" si="6"/>
        <v>0</v>
      </c>
      <c r="G42" s="244">
        <v>42408</v>
      </c>
      <c r="H42" s="9" t="s">
        <v>538</v>
      </c>
    </row>
    <row r="43" spans="1:8" ht="114.75" x14ac:dyDescent="0.2">
      <c r="A43" s="588"/>
      <c r="B43" s="9" t="s">
        <v>554</v>
      </c>
      <c r="C43" s="210">
        <v>12600000</v>
      </c>
      <c r="D43" s="210">
        <v>12600000</v>
      </c>
      <c r="E43" s="149"/>
      <c r="F43" s="150">
        <f t="shared" si="6"/>
        <v>0</v>
      </c>
      <c r="G43" s="244">
        <v>42408</v>
      </c>
      <c r="H43" s="9" t="s">
        <v>700</v>
      </c>
    </row>
    <row r="44" spans="1:8" ht="114.75" x14ac:dyDescent="0.2">
      <c r="A44" s="588"/>
      <c r="B44" s="9" t="s">
        <v>554</v>
      </c>
      <c r="C44" s="210">
        <v>12600000</v>
      </c>
      <c r="D44" s="210"/>
      <c r="E44" s="149"/>
      <c r="F44" s="150">
        <f t="shared" si="6"/>
        <v>12600000</v>
      </c>
      <c r="G44" s="244">
        <v>42408</v>
      </c>
      <c r="H44" s="9" t="s">
        <v>701</v>
      </c>
    </row>
    <row r="45" spans="1:8" ht="111.75" customHeight="1" x14ac:dyDescent="0.2">
      <c r="A45" s="588"/>
      <c r="B45" s="9" t="s">
        <v>553</v>
      </c>
      <c r="C45" s="210">
        <v>10500000</v>
      </c>
      <c r="D45" s="210">
        <v>10500000</v>
      </c>
      <c r="E45" s="149"/>
      <c r="F45" s="150">
        <f t="shared" si="6"/>
        <v>0</v>
      </c>
      <c r="G45" s="244">
        <v>42408</v>
      </c>
      <c r="H45" s="9" t="s">
        <v>702</v>
      </c>
    </row>
    <row r="46" spans="1:8" ht="114.75" x14ac:dyDescent="0.2">
      <c r="A46" s="588"/>
      <c r="B46" s="9" t="s">
        <v>553</v>
      </c>
      <c r="C46" s="210">
        <v>10500000</v>
      </c>
      <c r="D46" s="210">
        <v>10500000</v>
      </c>
      <c r="E46" s="149"/>
      <c r="F46" s="150">
        <f t="shared" si="6"/>
        <v>0</v>
      </c>
      <c r="G46" s="244">
        <v>42408</v>
      </c>
      <c r="H46" s="9" t="s">
        <v>703</v>
      </c>
    </row>
    <row r="47" spans="1:8" ht="38.25" x14ac:dyDescent="0.2">
      <c r="A47" s="588"/>
      <c r="B47" s="9" t="s">
        <v>272</v>
      </c>
      <c r="C47" s="210">
        <f>100000000-22681700</f>
        <v>77318300</v>
      </c>
      <c r="D47" s="228"/>
      <c r="E47" s="149"/>
      <c r="F47" s="150">
        <f t="shared" si="6"/>
        <v>77318300</v>
      </c>
      <c r="G47" s="244">
        <v>42509</v>
      </c>
      <c r="H47" s="20" t="s">
        <v>715</v>
      </c>
    </row>
    <row r="48" spans="1:8" ht="38.25" x14ac:dyDescent="0.2">
      <c r="A48" s="588"/>
      <c r="B48" s="9" t="s">
        <v>625</v>
      </c>
      <c r="C48" s="210">
        <v>12181700</v>
      </c>
      <c r="D48" s="228"/>
      <c r="E48" s="149"/>
      <c r="F48" s="150">
        <f t="shared" ref="F48:F49" si="7">C48-D48</f>
        <v>12181700</v>
      </c>
      <c r="G48" s="244">
        <v>42509</v>
      </c>
      <c r="H48" s="20" t="s">
        <v>715</v>
      </c>
    </row>
    <row r="49" spans="1:8" ht="25.5" x14ac:dyDescent="0.2">
      <c r="A49" s="589"/>
      <c r="B49" s="9" t="s">
        <v>547</v>
      </c>
      <c r="C49" s="210">
        <f>12600000-10500000</f>
        <v>2100000</v>
      </c>
      <c r="D49" s="228"/>
      <c r="E49" s="149"/>
      <c r="F49" s="150">
        <f t="shared" si="7"/>
        <v>2100000</v>
      </c>
      <c r="G49" s="200" t="s">
        <v>546</v>
      </c>
      <c r="H49" s="9" t="s">
        <v>555</v>
      </c>
    </row>
    <row r="50" spans="1:8" ht="12.75" x14ac:dyDescent="0.2">
      <c r="A50" s="168"/>
      <c r="B50" s="154" t="s">
        <v>321</v>
      </c>
      <c r="C50" s="155">
        <f>SUM(C38:C49)</f>
        <v>240000000</v>
      </c>
      <c r="D50" s="156">
        <f>SUM(D38:D49)</f>
        <v>113400000</v>
      </c>
      <c r="E50" s="157">
        <f t="shared" ref="E50:E51" si="8">D50/C50*100</f>
        <v>47.25</v>
      </c>
      <c r="F50" s="156">
        <f t="shared" ref="F50:F51" si="9">C50-D50</f>
        <v>126600000</v>
      </c>
      <c r="G50" s="158"/>
      <c r="H50" s="159">
        <f>D50/C50</f>
        <v>0.47249999999999998</v>
      </c>
    </row>
    <row r="51" spans="1:8" ht="19.5" customHeight="1" x14ac:dyDescent="0.2">
      <c r="A51" s="169"/>
      <c r="B51" s="170" t="s">
        <v>322</v>
      </c>
      <c r="C51" s="171">
        <f>C13+C21+C33+C50</f>
        <v>2412200000</v>
      </c>
      <c r="D51" s="171">
        <f>D13+D21+D33+D50</f>
        <v>119331400</v>
      </c>
      <c r="E51" s="172">
        <f t="shared" si="8"/>
        <v>4.9469944449050658</v>
      </c>
      <c r="F51" s="171">
        <f t="shared" si="9"/>
        <v>2292868600</v>
      </c>
      <c r="G51" s="173"/>
      <c r="H51" s="453">
        <f>D51/C51</f>
        <v>4.946994444905066E-2</v>
      </c>
    </row>
    <row r="52" spans="1:8" ht="17.25" customHeight="1" x14ac:dyDescent="0.25">
      <c r="A52" s="174" t="s">
        <v>323</v>
      </c>
      <c r="B52" s="175"/>
      <c r="C52" s="176"/>
      <c r="D52" s="177"/>
      <c r="E52" s="177"/>
      <c r="F52" s="177"/>
      <c r="G52" s="178"/>
      <c r="H52" s="179"/>
    </row>
    <row r="53" spans="1:8" ht="36" x14ac:dyDescent="0.2">
      <c r="A53" s="147" t="s">
        <v>324</v>
      </c>
      <c r="B53" s="164" t="s">
        <v>301</v>
      </c>
      <c r="C53" s="164" t="s">
        <v>325</v>
      </c>
      <c r="D53" s="164" t="s">
        <v>303</v>
      </c>
      <c r="E53" s="165" t="s">
        <v>304</v>
      </c>
      <c r="F53" s="164" t="s">
        <v>305</v>
      </c>
      <c r="G53" s="164" t="s">
        <v>306</v>
      </c>
      <c r="H53" s="164" t="s">
        <v>307</v>
      </c>
    </row>
    <row r="54" spans="1:8" ht="39.75" customHeight="1" x14ac:dyDescent="0.2">
      <c r="A54" s="180" t="s">
        <v>326</v>
      </c>
      <c r="B54" s="590" t="s">
        <v>558</v>
      </c>
      <c r="C54" s="592">
        <v>541800000</v>
      </c>
      <c r="D54" s="593"/>
      <c r="E54" s="594"/>
      <c r="F54" s="594">
        <f>C54-D54</f>
        <v>541800000</v>
      </c>
      <c r="G54" s="583">
        <v>42342</v>
      </c>
      <c r="H54" s="586" t="s">
        <v>704</v>
      </c>
    </row>
    <row r="55" spans="1:8" ht="39.75" customHeight="1" x14ac:dyDescent="0.2">
      <c r="A55" s="180" t="s">
        <v>327</v>
      </c>
      <c r="B55" s="591"/>
      <c r="C55" s="592"/>
      <c r="D55" s="593"/>
      <c r="E55" s="595"/>
      <c r="F55" s="595"/>
      <c r="G55" s="584"/>
      <c r="H55" s="586"/>
    </row>
    <row r="56" spans="1:8" ht="100.5" customHeight="1" x14ac:dyDescent="0.2">
      <c r="A56" s="181" t="s">
        <v>328</v>
      </c>
      <c r="B56" s="591"/>
      <c r="C56" s="592"/>
      <c r="D56" s="593"/>
      <c r="E56" s="596"/>
      <c r="F56" s="596"/>
      <c r="G56" s="585"/>
      <c r="H56" s="586"/>
    </row>
    <row r="57" spans="1:8" ht="82.5" customHeight="1" x14ac:dyDescent="0.2">
      <c r="A57" s="581" t="s">
        <v>329</v>
      </c>
      <c r="B57" s="9" t="s">
        <v>560</v>
      </c>
      <c r="C57" s="210">
        <v>129032000</v>
      </c>
      <c r="D57" s="183"/>
      <c r="E57" s="149"/>
      <c r="F57" s="184">
        <f>C57-D57</f>
        <v>129032000</v>
      </c>
      <c r="G57" s="5">
        <v>42418</v>
      </c>
      <c r="H57" s="9" t="s">
        <v>705</v>
      </c>
    </row>
    <row r="58" spans="1:8" ht="28.5" customHeight="1" x14ac:dyDescent="0.2">
      <c r="A58" s="582"/>
      <c r="B58" s="9" t="s">
        <v>663</v>
      </c>
      <c r="C58" s="210">
        <f>150000000-129032000</f>
        <v>20968000</v>
      </c>
      <c r="D58" s="432"/>
      <c r="E58" s="149"/>
      <c r="F58" s="184">
        <f>C58-D58</f>
        <v>20968000</v>
      </c>
      <c r="G58" s="454" t="s">
        <v>662</v>
      </c>
      <c r="H58" s="454" t="s">
        <v>662</v>
      </c>
    </row>
    <row r="59" spans="1:8" ht="121.5" customHeight="1" x14ac:dyDescent="0.2">
      <c r="A59" s="182" t="s">
        <v>556</v>
      </c>
      <c r="B59" s="10" t="s">
        <v>557</v>
      </c>
      <c r="C59" s="210">
        <v>64000000</v>
      </c>
      <c r="D59" s="183"/>
      <c r="E59" s="149"/>
      <c r="F59" s="184">
        <f>C59-D59</f>
        <v>64000000</v>
      </c>
      <c r="G59" s="5">
        <v>42500</v>
      </c>
      <c r="H59" s="509" t="s">
        <v>706</v>
      </c>
    </row>
    <row r="60" spans="1:8" ht="18" customHeight="1" x14ac:dyDescent="0.2">
      <c r="A60" s="170"/>
      <c r="B60" s="170" t="s">
        <v>330</v>
      </c>
      <c r="C60" s="185">
        <f>SUM(C54:C59)</f>
        <v>755800000</v>
      </c>
      <c r="D60" s="185">
        <f>SUM(D54:D59)</f>
        <v>0</v>
      </c>
      <c r="E60" s="173">
        <f t="shared" ref="E60:E61" si="10">D60/C60*100</f>
        <v>0</v>
      </c>
      <c r="F60" s="185">
        <f>C60-D60</f>
        <v>755800000</v>
      </c>
      <c r="G60" s="185"/>
      <c r="H60" s="186">
        <f>D60/C60</f>
        <v>0</v>
      </c>
    </row>
    <row r="61" spans="1:8" ht="18.75" customHeight="1" x14ac:dyDescent="0.2">
      <c r="A61" s="187"/>
      <c r="B61" s="187" t="s">
        <v>331</v>
      </c>
      <c r="C61" s="188">
        <f>SUM(C51+C60)</f>
        <v>3168000000</v>
      </c>
      <c r="D61" s="188">
        <f>SUM(D51+D60)</f>
        <v>119331400</v>
      </c>
      <c r="E61" s="189">
        <f t="shared" si="10"/>
        <v>3.76677398989899</v>
      </c>
      <c r="F61" s="188">
        <f>C61-D61</f>
        <v>3048668600</v>
      </c>
      <c r="G61" s="188"/>
      <c r="H61" s="452">
        <f>D61/C61</f>
        <v>3.7667739898989902E-2</v>
      </c>
    </row>
    <row r="63" spans="1:8" x14ac:dyDescent="0.2">
      <c r="D63" s="109"/>
      <c r="E63" s="448"/>
      <c r="F63" s="34"/>
    </row>
    <row r="64" spans="1:8" x14ac:dyDescent="0.2">
      <c r="D64" s="109"/>
      <c r="F64" s="191"/>
    </row>
  </sheetData>
  <mergeCells count="15">
    <mergeCell ref="A35:A36"/>
    <mergeCell ref="A1:H1"/>
    <mergeCell ref="A3:H3"/>
    <mergeCell ref="A5:A13"/>
    <mergeCell ref="A15:A21"/>
    <mergeCell ref="A23:A33"/>
    <mergeCell ref="A57:A58"/>
    <mergeCell ref="G54:G56"/>
    <mergeCell ref="H54:H56"/>
    <mergeCell ref="A38:A49"/>
    <mergeCell ref="B54:B56"/>
    <mergeCell ref="C54:C56"/>
    <mergeCell ref="D54:D56"/>
    <mergeCell ref="E54:E56"/>
    <mergeCell ref="F54:F56"/>
  </mergeCells>
  <pageMargins left="0.70866141732283472" right="0.70866141732283472" top="0.55118110236220474" bottom="0.74803149606299213" header="0.31496062992125984" footer="0.31496062992125984"/>
  <pageSetup scale="68"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CUADRO PAA 2016</vt:lpstr>
      <vt:lpstr>PLAN DE ADQUISICIONES 2016</vt:lpstr>
      <vt:lpstr>ADICIONES A CONTRATOS</vt:lpstr>
      <vt:lpstr>INVERSIÓN</vt:lpstr>
      <vt:lpstr>INVERSIÓN!Área_de_impresión</vt:lpstr>
      <vt:lpstr>'PLAN DE ADQUISICIONES 2016'!Área_de_impresión</vt:lpstr>
      <vt:lpstr>INVERSIÓN!Títulos_a_imprimir</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revision/>
  <cp:lastPrinted>2016-04-05T15:24:56Z</cp:lastPrinted>
  <dcterms:created xsi:type="dcterms:W3CDTF">2012-05-03T16:02:33Z</dcterms:created>
  <dcterms:modified xsi:type="dcterms:W3CDTF">2016-04-12T17:27:03Z</dcterms:modified>
</cp:coreProperties>
</file>